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 Propuesta Tecnologias Tratamiento y Piscicultura\Actualizacion 2023\Contenidos 23\"/>
    </mc:Choice>
  </mc:AlternateContent>
  <xr:revisionPtr revIDLastSave="0" documentId="13_ncr:1_{11B7F292-5587-40FF-B536-70A39B3137BD}" xr6:coauthVersionLast="47" xr6:coauthVersionMax="47" xr10:uidLastSave="{00000000-0000-0000-0000-000000000000}"/>
  <bookViews>
    <workbookView xWindow="-120" yWindow="-120" windowWidth="19440" windowHeight="15000" tabRatio="819" xr2:uid="{33006BC4-FC60-4236-9AA1-92144CEFEBD6}"/>
  </bookViews>
  <sheets>
    <sheet name="Parrilla de Aireación" sheetId="1" r:id="rId1"/>
    <sheet name="Tubería de Succión" sheetId="6" r:id="rId2"/>
    <sheet name="Tubería de Aireación" sheetId="7" r:id="rId3"/>
    <sheet name="Agua-T(°C)" sheetId="3" r:id="rId4"/>
    <sheet name="Tubería del Soplador" sheetId="4" r:id="rId5"/>
    <sheet name="Diagrama de Moody" sheetId="5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4" l="1"/>
  <c r="G82" i="1"/>
  <c r="G41" i="1" l="1"/>
  <c r="E41" i="1"/>
  <c r="G25" i="1" l="1"/>
  <c r="E25" i="1" l="1"/>
  <c r="B25" i="7" l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H19" i="7"/>
  <c r="G18" i="7"/>
  <c r="E18" i="7"/>
  <c r="G17" i="7"/>
  <c r="E17" i="7"/>
  <c r="H15" i="7"/>
  <c r="H7" i="7"/>
  <c r="G6" i="7"/>
  <c r="H6" i="7" s="1"/>
  <c r="E6" i="7"/>
  <c r="H4" i="7"/>
  <c r="C32" i="6"/>
  <c r="H27" i="6"/>
  <c r="H25" i="6"/>
  <c r="H21" i="6"/>
  <c r="G19" i="6"/>
  <c r="E19" i="6"/>
  <c r="E20" i="6" s="1"/>
  <c r="E22" i="6" s="1"/>
  <c r="H18" i="6"/>
  <c r="H16" i="6"/>
  <c r="H8" i="6"/>
  <c r="H7" i="6"/>
  <c r="G7" i="6"/>
  <c r="E7" i="6"/>
  <c r="H5" i="6"/>
  <c r="B32" i="4"/>
  <c r="B33" i="4" s="1"/>
  <c r="B34" i="4" s="1"/>
  <c r="B35" i="4" s="1"/>
  <c r="B36" i="4" s="1"/>
  <c r="B37" i="4" s="1"/>
  <c r="B38" i="4" s="1"/>
  <c r="H27" i="4"/>
  <c r="H26" i="4"/>
  <c r="H24" i="4"/>
  <c r="H23" i="4"/>
  <c r="H21" i="4"/>
  <c r="H12" i="4"/>
  <c r="H11" i="4"/>
  <c r="G8" i="4"/>
  <c r="G9" i="4" s="1"/>
  <c r="E8" i="4"/>
  <c r="E9" i="4" s="1"/>
  <c r="E25" i="4" s="1"/>
  <c r="H6" i="4"/>
  <c r="G5" i="4"/>
  <c r="H5" i="4" s="1"/>
  <c r="E5" i="4"/>
  <c r="H17" i="7" l="1"/>
  <c r="E20" i="7"/>
  <c r="H19" i="6"/>
  <c r="G20" i="7"/>
  <c r="H18" i="7"/>
  <c r="C33" i="6"/>
  <c r="G20" i="6"/>
  <c r="G25" i="4"/>
  <c r="H25" i="4" s="1"/>
  <c r="H9" i="4"/>
  <c r="H8" i="4"/>
  <c r="H20" i="7" l="1"/>
  <c r="H20" i="6"/>
  <c r="G22" i="6"/>
  <c r="C34" i="6"/>
  <c r="C35" i="6" l="1"/>
  <c r="H22" i="6"/>
  <c r="C36" i="6" l="1"/>
  <c r="C37" i="6" l="1"/>
  <c r="C38" i="6" l="1"/>
  <c r="C39" i="6" l="1"/>
  <c r="C40" i="6" l="1"/>
  <c r="C41" i="6" l="1"/>
  <c r="C42" i="6" l="1"/>
  <c r="C43" i="6" l="1"/>
  <c r="C44" i="6" l="1"/>
  <c r="C45" i="6" l="1"/>
  <c r="C46" i="6" l="1"/>
  <c r="C47" i="6" l="1"/>
  <c r="C48" i="6" l="1"/>
  <c r="C49" i="6" l="1"/>
  <c r="C50" i="6" l="1"/>
  <c r="C51" i="6" l="1"/>
  <c r="D51" i="6" l="1"/>
  <c r="C52" i="6"/>
  <c r="D52" i="6" l="1"/>
  <c r="C53" i="6"/>
  <c r="E51" i="6"/>
  <c r="G51" i="6"/>
  <c r="D53" i="6" l="1"/>
  <c r="C54" i="6"/>
  <c r="E52" i="6"/>
  <c r="G52" i="6"/>
  <c r="D54" i="6" l="1"/>
  <c r="C55" i="6"/>
  <c r="E53" i="6"/>
  <c r="G53" i="6"/>
  <c r="D55" i="6" l="1"/>
  <c r="C56" i="6"/>
  <c r="E54" i="6"/>
  <c r="G54" i="6"/>
  <c r="D56" i="6" l="1"/>
  <c r="C57" i="6"/>
  <c r="E55" i="6"/>
  <c r="G55" i="6"/>
  <c r="D57" i="6" l="1"/>
  <c r="C58" i="6"/>
  <c r="E56" i="6"/>
  <c r="G56" i="6"/>
  <c r="D58" i="6" l="1"/>
  <c r="C59" i="6"/>
  <c r="E57" i="6"/>
  <c r="G57" i="6"/>
  <c r="D59" i="6" l="1"/>
  <c r="C60" i="6"/>
  <c r="D60" i="6" s="1"/>
  <c r="E58" i="6"/>
  <c r="G58" i="6"/>
  <c r="E60" i="6" l="1"/>
  <c r="G60" i="6"/>
  <c r="E59" i="6"/>
  <c r="G59" i="6"/>
  <c r="H17" i="1" l="1"/>
  <c r="E103" i="1" l="1"/>
  <c r="E99" i="1"/>
  <c r="E101" i="1" s="1"/>
  <c r="E95" i="1"/>
  <c r="E93" i="1"/>
  <c r="H83" i="1"/>
  <c r="G71" i="1"/>
  <c r="E71" i="1"/>
  <c r="H70" i="1"/>
  <c r="H69" i="1"/>
  <c r="G67" i="1"/>
  <c r="E67" i="1"/>
  <c r="H66" i="1"/>
  <c r="H60" i="1"/>
  <c r="G58" i="1"/>
  <c r="E58" i="1"/>
  <c r="G55" i="1"/>
  <c r="E55" i="1"/>
  <c r="E62" i="1" s="1"/>
  <c r="E63" i="1" s="1"/>
  <c r="H53" i="1"/>
  <c r="H49" i="1"/>
  <c r="H47" i="1"/>
  <c r="H40" i="1"/>
  <c r="H38" i="1"/>
  <c r="G30" i="1"/>
  <c r="G44" i="1" s="1"/>
  <c r="E30" i="1"/>
  <c r="H16" i="1"/>
  <c r="G27" i="1"/>
  <c r="G28" i="1" s="1"/>
  <c r="E27" i="1"/>
  <c r="H26" i="1"/>
  <c r="H25" i="1"/>
  <c r="G23" i="1"/>
  <c r="G54" i="1" s="1"/>
  <c r="E23" i="1"/>
  <c r="H22" i="1"/>
  <c r="H21" i="1"/>
  <c r="H19" i="1"/>
  <c r="H18" i="1"/>
  <c r="H14" i="1"/>
  <c r="E82" i="1" l="1"/>
  <c r="E13" i="4" s="1"/>
  <c r="E94" i="1"/>
  <c r="E98" i="1"/>
  <c r="G35" i="1" s="1"/>
  <c r="G59" i="1"/>
  <c r="E59" i="1"/>
  <c r="E64" i="1"/>
  <c r="E28" i="1"/>
  <c r="H28" i="1" s="1"/>
  <c r="E24" i="1"/>
  <c r="E96" i="1"/>
  <c r="D96" i="1" s="1"/>
  <c r="H71" i="1"/>
  <c r="H41" i="1"/>
  <c r="H67" i="1"/>
  <c r="H55" i="1"/>
  <c r="G62" i="1"/>
  <c r="G63" i="1" s="1"/>
  <c r="E35" i="1"/>
  <c r="E36" i="1" s="1"/>
  <c r="H58" i="1"/>
  <c r="H30" i="1"/>
  <c r="G36" i="1"/>
  <c r="G56" i="1"/>
  <c r="G57" i="1" s="1"/>
  <c r="E97" i="1"/>
  <c r="E44" i="1"/>
  <c r="G24" i="1"/>
  <c r="H23" i="1"/>
  <c r="H27" i="1"/>
  <c r="H15" i="1"/>
  <c r="E54" i="1"/>
  <c r="E56" i="1" s="1"/>
  <c r="E57" i="1" s="1"/>
  <c r="E29" i="1" l="1"/>
  <c r="E42" i="1" s="1"/>
  <c r="H63" i="1"/>
  <c r="H13" i="4"/>
  <c r="G64" i="1"/>
  <c r="H35" i="1"/>
  <c r="H82" i="1"/>
  <c r="H62" i="1"/>
  <c r="H36" i="1"/>
  <c r="H57" i="1"/>
  <c r="H56" i="1"/>
  <c r="E31" i="1"/>
  <c r="E32" i="1" s="1"/>
  <c r="E33" i="1" s="1"/>
  <c r="G31" i="1"/>
  <c r="D97" i="1"/>
  <c r="H54" i="1"/>
  <c r="G29" i="1"/>
  <c r="G42" i="1" s="1"/>
  <c r="H24" i="1"/>
  <c r="H44" i="1"/>
  <c r="H64" i="1" l="1"/>
  <c r="H59" i="1"/>
  <c r="H42" i="1"/>
  <c r="H29" i="1"/>
  <c r="G32" i="1"/>
  <c r="G33" i="1" s="1"/>
  <c r="H31" i="1"/>
  <c r="E34" i="1"/>
  <c r="H33" i="1" l="1"/>
  <c r="E86" i="1"/>
  <c r="E37" i="1"/>
  <c r="H32" i="1"/>
  <c r="G34" i="1"/>
  <c r="E61" i="1"/>
  <c r="E65" i="1" s="1"/>
  <c r="E4" i="4" l="1"/>
  <c r="E7" i="4" s="1"/>
  <c r="E68" i="1"/>
  <c r="E72" i="1" s="1"/>
  <c r="E73" i="1" s="1"/>
  <c r="G86" i="1"/>
  <c r="G37" i="1"/>
  <c r="G61" i="1"/>
  <c r="G65" i="1" s="1"/>
  <c r="G4" i="4" s="1"/>
  <c r="H34" i="1"/>
  <c r="E88" i="1"/>
  <c r="E43" i="1"/>
  <c r="E75" i="1" s="1"/>
  <c r="E22" i="4" l="1"/>
  <c r="G7" i="4"/>
  <c r="G22" i="4"/>
  <c r="H22" i="4" s="1"/>
  <c r="H4" i="4"/>
  <c r="C31" i="4"/>
  <c r="H7" i="4"/>
  <c r="E10" i="4"/>
  <c r="E14" i="4"/>
  <c r="H86" i="1"/>
  <c r="H61" i="1"/>
  <c r="G43" i="1"/>
  <c r="H37" i="1"/>
  <c r="G88" i="1"/>
  <c r="E89" i="1"/>
  <c r="E74" i="1"/>
  <c r="E76" i="1" s="1"/>
  <c r="E77" i="1" s="1"/>
  <c r="G10" i="4" l="1"/>
  <c r="H10" i="4" s="1"/>
  <c r="G14" i="4"/>
  <c r="G18" i="4" s="1"/>
  <c r="E18" i="4"/>
  <c r="E17" i="4"/>
  <c r="E15" i="4"/>
  <c r="D31" i="4"/>
  <c r="E31" i="4" s="1"/>
  <c r="C32" i="4"/>
  <c r="H65" i="1"/>
  <c r="G68" i="1"/>
  <c r="H88" i="1"/>
  <c r="H43" i="1"/>
  <c r="G75" i="1"/>
  <c r="H75" i="1" s="1"/>
  <c r="H14" i="4" l="1"/>
  <c r="G15" i="4"/>
  <c r="H15" i="4" s="1"/>
  <c r="G17" i="4"/>
  <c r="H18" i="4"/>
  <c r="D32" i="4"/>
  <c r="E32" i="4" s="1"/>
  <c r="C33" i="4"/>
  <c r="F31" i="4"/>
  <c r="G31" i="4"/>
  <c r="E19" i="4"/>
  <c r="H68" i="1"/>
  <c r="G72" i="1"/>
  <c r="G19" i="4" l="1"/>
  <c r="H17" i="4"/>
  <c r="D33" i="4"/>
  <c r="E33" i="4" s="1"/>
  <c r="C34" i="4"/>
  <c r="H31" i="4"/>
  <c r="G32" i="4"/>
  <c r="F32" i="4"/>
  <c r="H72" i="1"/>
  <c r="G73" i="1"/>
  <c r="H19" i="4" l="1"/>
  <c r="H32" i="4"/>
  <c r="C35" i="4"/>
  <c r="D34" i="4"/>
  <c r="E34" i="4" s="1"/>
  <c r="G33" i="4"/>
  <c r="F33" i="4"/>
  <c r="G74" i="1"/>
  <c r="G89" i="1"/>
  <c r="H73" i="1"/>
  <c r="F34" i="4" l="1"/>
  <c r="G34" i="4"/>
  <c r="H33" i="4"/>
  <c r="C36" i="4"/>
  <c r="D35" i="4"/>
  <c r="E35" i="4" s="1"/>
  <c r="H89" i="1"/>
  <c r="H74" i="1"/>
  <c r="G76" i="1"/>
  <c r="G77" i="1" s="1"/>
  <c r="H34" i="4" l="1"/>
  <c r="G35" i="4"/>
  <c r="F35" i="4"/>
  <c r="C37" i="4"/>
  <c r="D36" i="4"/>
  <c r="E36" i="4" s="1"/>
  <c r="H77" i="1"/>
  <c r="H76" i="1"/>
  <c r="H35" i="4" l="1"/>
  <c r="F36" i="4"/>
  <c r="G36" i="4"/>
  <c r="C38" i="4"/>
  <c r="D38" i="4" s="1"/>
  <c r="E38" i="4" s="1"/>
  <c r="D37" i="4"/>
  <c r="E37" i="4" s="1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B7" i="3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E6" i="3"/>
  <c r="G38" i="4" l="1"/>
  <c r="F38" i="4"/>
  <c r="H38" i="4" s="1"/>
  <c r="F37" i="4"/>
  <c r="G37" i="4"/>
  <c r="H36" i="4"/>
  <c r="H37" i="4" l="1"/>
  <c r="E28" i="4"/>
  <c r="E2" i="4" s="1"/>
  <c r="E79" i="1" s="1"/>
  <c r="G28" i="4"/>
  <c r="G2" i="4" s="1"/>
  <c r="G79" i="1" s="1"/>
  <c r="G80" i="1" s="1"/>
  <c r="G81" i="1" s="1"/>
  <c r="E80" i="1" l="1"/>
  <c r="E81" i="1" s="1"/>
  <c r="E84" i="1" s="1"/>
  <c r="E85" i="1" s="1"/>
  <c r="E87" i="1" s="1"/>
  <c r="E90" i="1" s="1"/>
  <c r="H28" i="4"/>
  <c r="H2" i="4" l="1"/>
  <c r="H79" i="1" l="1"/>
  <c r="H80" i="1" l="1"/>
  <c r="H81" i="1" l="1"/>
  <c r="G84" i="1"/>
  <c r="G85" i="1" l="1"/>
  <c r="H84" i="1"/>
  <c r="H85" i="1" l="1"/>
  <c r="G87" i="1"/>
  <c r="H87" i="1" l="1"/>
  <c r="G90" i="1"/>
  <c r="H90" i="1" s="1"/>
  <c r="G17" i="6" l="1"/>
  <c r="G5" i="7"/>
  <c r="G6" i="6"/>
  <c r="G9" i="6" l="1"/>
  <c r="G10" i="6"/>
  <c r="G16" i="7"/>
  <c r="G8" i="7"/>
  <c r="G9" i="7"/>
  <c r="G23" i="6"/>
  <c r="G26" i="6" l="1"/>
  <c r="G10" i="7"/>
  <c r="G11" i="6"/>
  <c r="G12" i="7" l="1"/>
  <c r="G13" i="6"/>
  <c r="G14" i="6"/>
  <c r="G28" i="6"/>
  <c r="G4" i="6" l="1"/>
  <c r="G13" i="7"/>
  <c r="E6" i="6" l="1"/>
  <c r="E17" i="6"/>
  <c r="E5" i="7"/>
  <c r="E16" i="7" l="1"/>
  <c r="E8" i="7"/>
  <c r="E9" i="7"/>
  <c r="H5" i="7"/>
  <c r="E23" i="6"/>
  <c r="H17" i="6"/>
  <c r="E9" i="6"/>
  <c r="E10" i="6"/>
  <c r="H6" i="6"/>
  <c r="H10" i="6" l="1"/>
  <c r="H9" i="7"/>
  <c r="E11" i="6"/>
  <c r="H9" i="6"/>
  <c r="E10" i="7"/>
  <c r="H8" i="7"/>
  <c r="E26" i="6"/>
  <c r="D31" i="6"/>
  <c r="H23" i="6"/>
  <c r="D24" i="7"/>
  <c r="H16" i="7"/>
  <c r="E12" i="7" l="1"/>
  <c r="H10" i="7"/>
  <c r="D25" i="7"/>
  <c r="E24" i="7"/>
  <c r="G24" i="7"/>
  <c r="D32" i="6"/>
  <c r="E31" i="6"/>
  <c r="G31" i="6"/>
  <c r="E28" i="6"/>
  <c r="H28" i="6" s="1"/>
  <c r="H26" i="6"/>
  <c r="E13" i="6"/>
  <c r="E14" i="6"/>
  <c r="H14" i="6" s="1"/>
  <c r="H11" i="6"/>
  <c r="H13" i="6" l="1"/>
  <c r="E4" i="6"/>
  <c r="H4" i="6" s="1"/>
  <c r="G25" i="7"/>
  <c r="E25" i="7"/>
  <c r="D26" i="7"/>
  <c r="E32" i="6"/>
  <c r="D33" i="6"/>
  <c r="G32" i="6"/>
  <c r="H12" i="7"/>
  <c r="E13" i="7"/>
  <c r="H13" i="7" s="1"/>
  <c r="E33" i="6" l="1"/>
  <c r="D34" i="6"/>
  <c r="G33" i="6"/>
  <c r="E26" i="7"/>
  <c r="D27" i="7"/>
  <c r="G26" i="7"/>
  <c r="E34" i="6" l="1"/>
  <c r="G34" i="6"/>
  <c r="D35" i="6"/>
  <c r="G27" i="7"/>
  <c r="E27" i="7"/>
  <c r="D28" i="7"/>
  <c r="E28" i="7" l="1"/>
  <c r="D29" i="7"/>
  <c r="G28" i="7"/>
  <c r="E35" i="6"/>
  <c r="G35" i="6"/>
  <c r="D36" i="6"/>
  <c r="D37" i="6" l="1"/>
  <c r="E36" i="6"/>
  <c r="G36" i="6"/>
  <c r="E29" i="7"/>
  <c r="D30" i="7"/>
  <c r="G29" i="7"/>
  <c r="E30" i="7" l="1"/>
  <c r="D31" i="7"/>
  <c r="G30" i="7"/>
  <c r="E37" i="6"/>
  <c r="G37" i="6"/>
  <c r="D38" i="6"/>
  <c r="G38" i="6" l="1"/>
  <c r="D39" i="6"/>
  <c r="E38" i="6"/>
  <c r="E31" i="7"/>
  <c r="D32" i="7"/>
  <c r="G31" i="7"/>
  <c r="E39" i="6" l="1"/>
  <c r="D40" i="6"/>
  <c r="G39" i="6"/>
  <c r="E32" i="7"/>
  <c r="D33" i="7"/>
  <c r="G32" i="7"/>
  <c r="E33" i="7" l="1"/>
  <c r="D34" i="7"/>
  <c r="G33" i="7"/>
  <c r="E40" i="6"/>
  <c r="D41" i="6"/>
  <c r="G40" i="6"/>
  <c r="E34" i="7" l="1"/>
  <c r="D35" i="7"/>
  <c r="G34" i="7"/>
  <c r="E41" i="6"/>
  <c r="G41" i="6"/>
  <c r="D42" i="6"/>
  <c r="E42" i="6" l="1"/>
  <c r="G42" i="6"/>
  <c r="D43" i="6"/>
  <c r="E35" i="7"/>
  <c r="D36" i="7"/>
  <c r="G35" i="7"/>
  <c r="E43" i="6" l="1"/>
  <c r="G43" i="6"/>
  <c r="D44" i="6"/>
  <c r="E36" i="7"/>
  <c r="D37" i="7"/>
  <c r="G36" i="7"/>
  <c r="E44" i="6" l="1"/>
  <c r="G44" i="6"/>
  <c r="D45" i="6"/>
  <c r="E37" i="7"/>
  <c r="D38" i="7"/>
  <c r="G37" i="7"/>
  <c r="E45" i="6" l="1"/>
  <c r="G45" i="6"/>
  <c r="D46" i="6"/>
  <c r="E38" i="7"/>
  <c r="D39" i="7"/>
  <c r="G38" i="7"/>
  <c r="E46" i="6" l="1"/>
  <c r="D47" i="6"/>
  <c r="G46" i="6"/>
  <c r="E39" i="7"/>
  <c r="D40" i="7"/>
  <c r="G39" i="7"/>
  <c r="E47" i="6" l="1"/>
  <c r="G47" i="6"/>
  <c r="D48" i="6"/>
  <c r="E40" i="7"/>
  <c r="D41" i="7"/>
  <c r="G40" i="7"/>
  <c r="E48" i="6" l="1"/>
  <c r="G48" i="6"/>
  <c r="D49" i="6"/>
  <c r="E41" i="7"/>
  <c r="D42" i="7"/>
  <c r="G41" i="7"/>
  <c r="E49" i="6" l="1"/>
  <c r="G49" i="6"/>
  <c r="D50" i="6"/>
  <c r="E42" i="7"/>
  <c r="D43" i="7"/>
  <c r="G42" i="7"/>
  <c r="E50" i="6" l="1"/>
  <c r="E24" i="6" s="1"/>
  <c r="E15" i="6" s="1"/>
  <c r="E3" i="6" s="1"/>
  <c r="E45" i="1" s="1"/>
  <c r="G50" i="6"/>
  <c r="G24" i="6" s="1"/>
  <c r="E43" i="7"/>
  <c r="D44" i="7"/>
  <c r="G43" i="7"/>
  <c r="E44" i="7" l="1"/>
  <c r="D45" i="7"/>
  <c r="G44" i="7"/>
  <c r="H24" i="6"/>
  <c r="G15" i="6"/>
  <c r="E45" i="7" l="1"/>
  <c r="D46" i="7"/>
  <c r="G45" i="7"/>
  <c r="H15" i="6"/>
  <c r="G3" i="6"/>
  <c r="E46" i="7" l="1"/>
  <c r="D47" i="7"/>
  <c r="G46" i="7"/>
  <c r="H3" i="6"/>
  <c r="G45" i="1"/>
  <c r="E47" i="7" l="1"/>
  <c r="G47" i="7"/>
  <c r="D48" i="7"/>
  <c r="H45" i="1"/>
  <c r="E48" i="7" l="1"/>
  <c r="D49" i="7"/>
  <c r="G48" i="7"/>
  <c r="E49" i="7" l="1"/>
  <c r="D50" i="7"/>
  <c r="G49" i="7"/>
  <c r="E50" i="7" l="1"/>
  <c r="D51" i="7"/>
  <c r="G50" i="7"/>
  <c r="E51" i="7" l="1"/>
  <c r="D52" i="7"/>
  <c r="G51" i="7"/>
  <c r="E52" i="7" l="1"/>
  <c r="D53" i="7"/>
  <c r="G52" i="7"/>
  <c r="E53" i="7" l="1"/>
  <c r="D54" i="7"/>
  <c r="G53" i="7"/>
  <c r="E54" i="7" l="1"/>
  <c r="D55" i="7"/>
  <c r="G54" i="7"/>
  <c r="E55" i="7" l="1"/>
  <c r="D56" i="7"/>
  <c r="G55" i="7"/>
  <c r="G56" i="7" l="1"/>
  <c r="G21" i="7" s="1"/>
  <c r="E56" i="7"/>
  <c r="E21" i="7" s="1"/>
  <c r="E2" i="7" s="1"/>
  <c r="E46" i="1" s="1"/>
  <c r="E48" i="1" s="1"/>
  <c r="E50" i="1" s="1"/>
  <c r="E51" i="1" s="1"/>
  <c r="H21" i="7" l="1"/>
  <c r="G2" i="7"/>
  <c r="H2" i="7" l="1"/>
  <c r="G46" i="1"/>
  <c r="H46" i="1" l="1"/>
  <c r="G48" i="1"/>
  <c r="G50" i="1" l="1"/>
  <c r="H48" i="1"/>
  <c r="G51" i="1" l="1"/>
  <c r="H51" i="1" s="1"/>
  <c r="H50" i="1"/>
</calcChain>
</file>

<file path=xl/sharedStrings.xml><?xml version="1.0" encoding="utf-8"?>
<sst xmlns="http://schemas.openxmlformats.org/spreadsheetml/2006/main" count="496" uniqueCount="279">
  <si>
    <t>Clasificación de la Información</t>
  </si>
  <si>
    <t>Variables Principales de Entrada</t>
  </si>
  <si>
    <t>Parámetros de Diseño Asumidos</t>
  </si>
  <si>
    <t>Indicadores de Control</t>
  </si>
  <si>
    <t>Parámetros y Datos de Diseño Calculados</t>
  </si>
  <si>
    <t>Fuente</t>
  </si>
  <si>
    <t>Calculo Alterno</t>
  </si>
  <si>
    <t>Diferencia</t>
  </si>
  <si>
    <t>Variable de Ajuste</t>
  </si>
  <si>
    <t>Vt</t>
  </si>
  <si>
    <t>m/s</t>
  </si>
  <si>
    <t>Cabeza de Velocidad en Garganta</t>
  </si>
  <si>
    <t>hv</t>
  </si>
  <si>
    <t xml:space="preserve">m </t>
  </si>
  <si>
    <t>Caudal por Boquilla</t>
  </si>
  <si>
    <t>Lps</t>
  </si>
  <si>
    <t xml:space="preserve">Ecuación A-20 de M.R. Ghomi (Ref. A-19) </t>
  </si>
  <si>
    <t>Potencia Hidráulica por Boquilla</t>
  </si>
  <si>
    <t>Ph</t>
  </si>
  <si>
    <t>Kw</t>
  </si>
  <si>
    <t>Cl</t>
  </si>
  <si>
    <t>mg/L</t>
  </si>
  <si>
    <t>Altitud</t>
  </si>
  <si>
    <t>msnm</t>
  </si>
  <si>
    <t>Temperatura</t>
  </si>
  <si>
    <t>T°C</t>
  </si>
  <si>
    <t>oC</t>
  </si>
  <si>
    <t>mm2</t>
  </si>
  <si>
    <t>D = 2*H</t>
  </si>
  <si>
    <t>mm</t>
  </si>
  <si>
    <t xml:space="preserve">Ecuación A-18 de M.R. Ghomi (Ref. A-19) </t>
  </si>
  <si>
    <t xml:space="preserve">Eficiencia en Transferencia de O2 en Condiciones Estándar  </t>
  </si>
  <si>
    <t>SOTE</t>
  </si>
  <si>
    <t>Kg O2/Kw-h</t>
  </si>
  <si>
    <t>kW</t>
  </si>
  <si>
    <t xml:space="preserve">Ecuación A-19 de M.R. Ghomi (Ref. A-19) </t>
  </si>
  <si>
    <t>SOTR</t>
  </si>
  <si>
    <t>Kg O2/hora</t>
  </si>
  <si>
    <t>Presion a Nivel del Mar</t>
  </si>
  <si>
    <t>kPa</t>
  </si>
  <si>
    <t>Factor de Presión</t>
  </si>
  <si>
    <t>Pt</t>
  </si>
  <si>
    <t>Salinidad del Agua</t>
  </si>
  <si>
    <t>gr/L</t>
  </si>
  <si>
    <t>Hoja "Agua-T(°C)</t>
  </si>
  <si>
    <t xml:space="preserve">Concentración de Saturación de O2  para Temperatura </t>
  </si>
  <si>
    <r>
      <t>Cs</t>
    </r>
    <r>
      <rPr>
        <vertAlign val="subscript"/>
        <sz val="11"/>
        <rFont val="Arial"/>
        <family val="2"/>
      </rPr>
      <t xml:space="preserve">T </t>
    </r>
  </si>
  <si>
    <t>Concentración de Saturación de O2  para Temperatura  y Altitud</t>
  </si>
  <si>
    <r>
      <t>Cs</t>
    </r>
    <r>
      <rPr>
        <vertAlign val="subscript"/>
        <sz val="11"/>
        <rFont val="Arial"/>
        <family val="2"/>
      </rPr>
      <t xml:space="preserve">TA </t>
    </r>
  </si>
  <si>
    <t>Profundidad de las Boquillas a 45°</t>
  </si>
  <si>
    <t>m</t>
  </si>
  <si>
    <t>Penetración Adicional del Chorrro</t>
  </si>
  <si>
    <t>Concentración de Saturación de O2 en el Terreno</t>
  </si>
  <si>
    <t>Cst</t>
  </si>
  <si>
    <t xml:space="preserve"> α</t>
  </si>
  <si>
    <t xml:space="preserve">Factor de Correcciòn por Salinidad y Tensión Superficial </t>
  </si>
  <si>
    <t xml:space="preserve"> β</t>
  </si>
  <si>
    <t>Saturación de O2 en Condiciones Standard (nivel del mar y 20°C)</t>
  </si>
  <si>
    <t>Ecuación A-3</t>
  </si>
  <si>
    <t>Factor Tranferencia de O2 en Condiciones Reales</t>
  </si>
  <si>
    <t>N</t>
  </si>
  <si>
    <t>Ecuación A-2</t>
  </si>
  <si>
    <t>Diferencia de Altura</t>
  </si>
  <si>
    <t>Curva Característica de la Bomba</t>
  </si>
  <si>
    <t>Eficiencia de Bombeo</t>
  </si>
  <si>
    <t>HP</t>
  </si>
  <si>
    <t>Parametros de la Boquilla</t>
  </si>
  <si>
    <t>Lado Interior de la Boquilla</t>
  </si>
  <si>
    <t>Area Interior del Tubo de Agua</t>
  </si>
  <si>
    <t>Diámetro Externo del Tubo Transversal  de Aire</t>
  </si>
  <si>
    <t>Area Interceptada por Tubo Transversal</t>
  </si>
  <si>
    <t>Area de las Gargantas</t>
  </si>
  <si>
    <t>Altura de la Garganta</t>
  </si>
  <si>
    <t>H</t>
  </si>
  <si>
    <t>Largo Ranura</t>
  </si>
  <si>
    <t>1/2"</t>
  </si>
  <si>
    <t>Ancho Ranura</t>
  </si>
  <si>
    <t>Area Ranura</t>
  </si>
  <si>
    <t>Diametro Interior de Tubo Transversal</t>
  </si>
  <si>
    <t>Tipo K</t>
  </si>
  <si>
    <t>Area de Entradas de Aire al Tubo Transversal</t>
  </si>
  <si>
    <t>Hoja "Tuberias de Aireación "</t>
  </si>
  <si>
    <t>Temperatura T</t>
  </si>
  <si>
    <r>
      <t xml:space="preserve">Densidad </t>
    </r>
    <r>
      <rPr>
        <b/>
        <sz val="11"/>
        <color rgb="FF000000"/>
        <rFont val="GreekC"/>
      </rPr>
      <t>r</t>
    </r>
  </si>
  <si>
    <r>
      <t xml:space="preserve">Viscosidad Dinámica </t>
    </r>
    <r>
      <rPr>
        <b/>
        <sz val="11"/>
        <color rgb="FF000000"/>
        <rFont val="GreekC"/>
      </rPr>
      <t>m</t>
    </r>
  </si>
  <si>
    <r>
      <t xml:space="preserve">Viscosidad Cinemática </t>
    </r>
    <r>
      <rPr>
        <b/>
        <sz val="11"/>
        <color rgb="FF000000"/>
        <rFont val="GreekC"/>
      </rPr>
      <t>J</t>
    </r>
  </si>
  <si>
    <t>Presión de Vapor Hv</t>
  </si>
  <si>
    <t>Concentración de Saturación de O2  para T y salinidad a nivel del mar  C(s,T)</t>
  </si>
  <si>
    <t>°C</t>
  </si>
  <si>
    <t>kg/m3</t>
  </si>
  <si>
    <r>
      <t>m</t>
    </r>
    <r>
      <rPr>
        <vertAlign val="super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>/sg</t>
    </r>
  </si>
  <si>
    <t>Salinidad en partes por mil (gr/L)</t>
  </si>
  <si>
    <t xml:space="preserve">Therm Exel. "Physical characteristics of water (at the atmospheric pressure)". 2.003.   </t>
  </si>
  <si>
    <t>Metcalf &amp; Eddy. “Wastewater Engineering. Treatment and Reuse”. Mc Graw Hill.            4ª Edición, 2.003.</t>
  </si>
  <si>
    <t>https://www.thermexcel.com/english/tables/eau_atm.htm</t>
  </si>
  <si>
    <t xml:space="preserve">Información de Entrada </t>
  </si>
  <si>
    <t xml:space="preserve">Parámetros  tomados de la Literatura Científica o Técnica </t>
  </si>
  <si>
    <t>Información de Salida</t>
  </si>
  <si>
    <t>Resultados Finales e Indicadores de Desempeño</t>
  </si>
  <si>
    <t>Otros Cálculos</t>
  </si>
  <si>
    <t>Datos de Entrada</t>
  </si>
  <si>
    <t>u</t>
  </si>
  <si>
    <t>Concentración de OD en el Estanque</t>
  </si>
  <si>
    <t>Componente de Aireación por Boquillas de Tubo Transversal</t>
  </si>
  <si>
    <t>Altura de la Zona con Efecto Venturi</t>
  </si>
  <si>
    <t>Planos de Diseño</t>
  </si>
  <si>
    <t xml:space="preserve">Profundidad de Aireación  con Boquillas </t>
  </si>
  <si>
    <t>Phe</t>
  </si>
  <si>
    <t>Ecuación A-4</t>
  </si>
  <si>
    <t>Velocidad  de Flujo en la Garganta</t>
  </si>
  <si>
    <t>,,</t>
  </si>
  <si>
    <t>Area de Flujo en Gargantas</t>
  </si>
  <si>
    <t>Caudal Total de Reciculación</t>
  </si>
  <si>
    <t>Diámetro EquIvalente de la Boquilla</t>
  </si>
  <si>
    <t xml:space="preserve">Transferencia de O2 en Condiciones Estándar     </t>
  </si>
  <si>
    <t>Factor de Corrección de Transferencia de O2 para Aguas Residuales</t>
  </si>
  <si>
    <t>Tipo de Aguas  a Tratar</t>
  </si>
  <si>
    <t>Aguas Residuales Domésticas o Municipales</t>
  </si>
  <si>
    <r>
      <t>Cs</t>
    </r>
    <r>
      <rPr>
        <sz val="8"/>
        <rFont val="Arial"/>
        <family val="2"/>
      </rPr>
      <t>20</t>
    </r>
  </si>
  <si>
    <t xml:space="preserve">Tasa de Transferencia de O2  en el Sitio por Boquillas </t>
  </si>
  <si>
    <t>Kg O2/h</t>
  </si>
  <si>
    <t>Cabeza de Velocidad en la Boquilla</t>
  </si>
  <si>
    <t>Hoja "Tubería de Succión "</t>
  </si>
  <si>
    <t>Perdidas en Tubería de Succión</t>
  </si>
  <si>
    <t>Perdidas en Tuberías de Aireación</t>
  </si>
  <si>
    <t>Total Cabeza de Bombeo de Recirculación</t>
  </si>
  <si>
    <t>Potencia de Bomba de Recirculación</t>
  </si>
  <si>
    <t>Componente de Aireación por Burbujas</t>
  </si>
  <si>
    <t>Profundidad del Estanque</t>
  </si>
  <si>
    <t>Yoram Avnimelech (Ref. C-43)</t>
  </si>
  <si>
    <t xml:space="preserve"> Guía de Sanitaire (Ref. A-5)</t>
  </si>
  <si>
    <t>Eficiencia de Transferencia de O2 por m de Profundidad</t>
  </si>
  <si>
    <t>por m</t>
  </si>
  <si>
    <t xml:space="preserve">Eficiencia de Transferencia de O2 </t>
  </si>
  <si>
    <t>Relación entre Caudal de Aire y de Agua</t>
  </si>
  <si>
    <t>Qa/Qw</t>
  </si>
  <si>
    <t>Caudal de Aire de Compresores a la Profundidad</t>
  </si>
  <si>
    <t xml:space="preserve">Qa  </t>
  </si>
  <si>
    <t>Presión del Aire a la Profundidad de Aireación</t>
  </si>
  <si>
    <t>m.c.a.</t>
  </si>
  <si>
    <t>Presión del Aire a la Altitud del Sitio</t>
  </si>
  <si>
    <t>Pnm</t>
  </si>
  <si>
    <t xml:space="preserve">Caudal de Aire a la Presión de Nivel del Mar </t>
  </si>
  <si>
    <t>Densidad del Aire al Nivel del Mar</t>
  </si>
  <si>
    <t>Kg/m3</t>
  </si>
  <si>
    <t>Porcentaje de Oxígeno al Nivel del Mar</t>
  </si>
  <si>
    <t>Contenido de Oxígeno al Nivel del Mar</t>
  </si>
  <si>
    <t>Tasa de Flujo de Oxígeno Total en Condiciones Standard</t>
  </si>
  <si>
    <t>Tasa de Transferencia de O2 en Condiciones Standard</t>
  </si>
  <si>
    <t>Tasa de Transferencia de O2 en el Sitio por Burbujas</t>
  </si>
  <si>
    <t>Tasa de Transferencia de O2 por Efecto Venturi</t>
  </si>
  <si>
    <t xml:space="preserve">Tasa de Transferencia de O2 Total en el Sitio  </t>
  </si>
  <si>
    <t>Tasa de Transferencia de O2 Total en el Sitio por Boquilla</t>
  </si>
  <si>
    <t>Calculo del Soplador</t>
  </si>
  <si>
    <t>Cabeza de Presión en Soplador</t>
  </si>
  <si>
    <t>γ</t>
  </si>
  <si>
    <t>Información del Fabricante</t>
  </si>
  <si>
    <t>Eficiencia del Soplador</t>
  </si>
  <si>
    <t xml:space="preserve">Potencia Total del Soplador </t>
  </si>
  <si>
    <t>Potencia Neta Total del Sistema de Aireación</t>
  </si>
  <si>
    <t xml:space="preserve">Transferencia de O2 en Condiciones Estándar  por Boquillas   </t>
  </si>
  <si>
    <t xml:space="preserve">Transferencia de O2 en Condiciones Estándar  por Burbujas   </t>
  </si>
  <si>
    <t>∅ ¨1/4" tipo K</t>
  </si>
  <si>
    <t xml:space="preserve">No Total de Boquillas </t>
  </si>
  <si>
    <t>N.sg/m2</t>
  </si>
  <si>
    <t>Notas</t>
  </si>
  <si>
    <t>INTRUCCIONES SOBRE EL CÁLCULO ALTERNO</t>
  </si>
  <si>
    <t>Esta operación permite analizar el cambio de las variables calculadas al cambiar algunos parámetros.</t>
  </si>
  <si>
    <t>El cálculo alterno se realiza modificando el valor de uno o varios  parámetros en esta columna.</t>
  </si>
  <si>
    <t>Los parámetros que se puden modificar corresponden a la Información de Entrada.</t>
  </si>
  <si>
    <t xml:space="preserve">El color de este parámetro se cambia a un color distintivo para diferenciarlo. </t>
  </si>
  <si>
    <t xml:space="preserve">Para revertir esta operación, se coloca en la casilla  del parámetro modificado el valor correspondiente </t>
  </si>
  <si>
    <t>a la columna E, y luego se quita el color distintivo.</t>
  </si>
  <si>
    <t>En el cálculo alterno es necesario aplicar la Función Objetivo en los parámetros indicados.</t>
  </si>
  <si>
    <t xml:space="preserve">Se puede tener en la abscisa una variable (p.e. caudal) que sea directamente proporcional al parámetro </t>
  </si>
  <si>
    <t>que se cambia (p.e. velocidad de los chorros)</t>
  </si>
  <si>
    <t xml:space="preserve">Cuando el cambio en el parámetro afecta el caudal, podrían requerirse cambios en dimensiones de </t>
  </si>
  <si>
    <t>tuberías y estructuras.</t>
  </si>
  <si>
    <t>Es importante verificar el cumplimento de las condiciones indIcadas en la columna D</t>
  </si>
  <si>
    <t>Para incorporar los cambios en el cálculo original, se copian en este los datos del Cálculo Alterno,</t>
  </si>
  <si>
    <t>y luego se quita el color distitivo en este último.</t>
  </si>
  <si>
    <t xml:space="preserve">Para hacer la gráfica de un parámetro contra divesas variables, se ejecutan las siguientes instrucciones: </t>
  </si>
  <si>
    <t xml:space="preserve">- Los valores del parámetro van en la abscisa o eje horizontal, y los de las variables en las ordenadas. </t>
  </si>
  <si>
    <t>- Se rellena la fila a la derecha del parámetro con valores que se incrementan una cantidad fija.</t>
  </si>
  <si>
    <t>- En el Cálculo Alterno se coloca sucesivamente cada valor del parámetro, y los valores de las variables</t>
  </si>
  <si>
    <t xml:space="preserve">  de interés se copian en la misma fila, y en la columna correspondiente al valor del parámetro.</t>
  </si>
  <si>
    <t>- Esta operación se repite para todos los valores del parámetro.</t>
  </si>
  <si>
    <t xml:space="preserve">- Al finalizar, se copian los valores de la abcisa y las ordenadas, y se pegan traspuestos en otra hoja. </t>
  </si>
  <si>
    <t>- Se realiza la gráfica a partir de las columnas de la abcisa y de las ordenadas.</t>
  </si>
  <si>
    <t>BOQUILLAS DE TUBO TRANSVERSAL PRESURIZADAS</t>
  </si>
  <si>
    <t>Metcalf &amp; Eddy. (Ref. A-1) para ARD</t>
  </si>
  <si>
    <t>Chunsheng Lei et al,  (Ref. A-21)</t>
  </si>
  <si>
    <t>Mazzei Aeration (Ref. A-17)</t>
  </si>
  <si>
    <t>TUBERIA DE SOPLADOR</t>
  </si>
  <si>
    <t>Perdidas Totales:</t>
  </si>
  <si>
    <t>Tubería de Descarga de Bomba</t>
  </si>
  <si>
    <t>Hoja "Parrilla de Aireación"</t>
  </si>
  <si>
    <t xml:space="preserve">Caudal  </t>
  </si>
  <si>
    <t xml:space="preserve">Longitud  </t>
  </si>
  <si>
    <t>Diametro</t>
  </si>
  <si>
    <t>pg</t>
  </si>
  <si>
    <t xml:space="preserve">Velocidad Media </t>
  </si>
  <si>
    <t>Temperatura del Agua</t>
  </si>
  <si>
    <t>Viscosidad Cinemática</t>
  </si>
  <si>
    <t>No de Reynolds</t>
  </si>
  <si>
    <r>
      <t>Relación</t>
    </r>
    <r>
      <rPr>
        <b/>
        <sz val="11"/>
        <rFont val="Arial"/>
        <family val="2"/>
        <charset val="1"/>
      </rPr>
      <t xml:space="preserve"> </t>
    </r>
    <r>
      <rPr>
        <b/>
        <sz val="11"/>
        <rFont val="GreekC"/>
      </rPr>
      <t>e</t>
    </r>
    <r>
      <rPr>
        <sz val="11"/>
        <rFont val="Arial"/>
        <family val="2"/>
        <charset val="1"/>
      </rPr>
      <t>/D para Tubería Lisa</t>
    </r>
  </si>
  <si>
    <t>Hoja "Diagrama de Moody"</t>
  </si>
  <si>
    <t xml:space="preserve">Factor de Fricción </t>
  </si>
  <si>
    <t>f</t>
  </si>
  <si>
    <t>Densidad del Aire en el Sitio</t>
  </si>
  <si>
    <t xml:space="preserve">Cabeza de Velocidad </t>
  </si>
  <si>
    <t>Metcalf &amp; Eddy. (Ref. C-43) Ecuación 5-57</t>
  </si>
  <si>
    <t>Perdidas de Cabeza en Tubería</t>
  </si>
  <si>
    <t>Accesorios</t>
  </si>
  <si>
    <t>C</t>
  </si>
  <si>
    <t>Cantidad</t>
  </si>
  <si>
    <t xml:space="preserve">Pérdidas </t>
  </si>
  <si>
    <t>Metcalf &amp; Eddy. (Ref. C-43) Tabla 5-29</t>
  </si>
  <si>
    <t>Codo  radio corto</t>
  </si>
  <si>
    <t>Te con salida lateral</t>
  </si>
  <si>
    <t>Perdidas Totales</t>
  </si>
  <si>
    <t>Tubería de Distribución</t>
  </si>
  <si>
    <t xml:space="preserve">Material </t>
  </si>
  <si>
    <t>PVC</t>
  </si>
  <si>
    <r>
      <t>Coeficiente C</t>
    </r>
    <r>
      <rPr>
        <vertAlign val="subscript"/>
        <sz val="11"/>
        <color rgb="FF000000"/>
        <rFont val="Arial"/>
        <family val="2"/>
      </rPr>
      <t>HW</t>
    </r>
    <r>
      <rPr>
        <sz val="11"/>
        <color rgb="FF000000"/>
        <rFont val="Arial"/>
        <family val="2"/>
      </rPr>
      <t xml:space="preserve"> =</t>
    </r>
  </si>
  <si>
    <t>Caudal Inicial</t>
  </si>
  <si>
    <t>Longitud  del Tramo</t>
  </si>
  <si>
    <t>Número de Tramos</t>
  </si>
  <si>
    <t>Perdidas en Distribución</t>
  </si>
  <si>
    <t>Tramo</t>
  </si>
  <si>
    <t>Caudal Q</t>
  </si>
  <si>
    <t>Velocidad</t>
  </si>
  <si>
    <t>Cabeza de Velocidad hv</t>
  </si>
  <si>
    <t>Pérdidas hf</t>
  </si>
  <si>
    <t>DIAGRAMA DE MOODY</t>
  </si>
  <si>
    <t>TUBERIA DE SUCCIÓN</t>
  </si>
  <si>
    <t>Tubería de Succión</t>
  </si>
  <si>
    <t xml:space="preserve">Perdidas </t>
  </si>
  <si>
    <r>
      <t>Coeficiente C</t>
    </r>
    <r>
      <rPr>
        <vertAlign val="subscript"/>
        <sz val="11"/>
        <color rgb="FF000000"/>
        <rFont val="Arial"/>
        <family val="2"/>
      </rPr>
      <t>HW</t>
    </r>
    <r>
      <rPr>
        <sz val="11"/>
        <color rgb="FF000000"/>
        <rFont val="Arial"/>
        <family val="2"/>
        <charset val="1"/>
      </rPr>
      <t>:</t>
    </r>
  </si>
  <si>
    <t>Ecuación F-11</t>
  </si>
  <si>
    <t>Km</t>
  </si>
  <si>
    <t>Tabla B. 6,30, RAS</t>
  </si>
  <si>
    <t>Caudal por Ramal</t>
  </si>
  <si>
    <t>Longitud  Total</t>
  </si>
  <si>
    <t>Longitud  Ramal</t>
  </si>
  <si>
    <t>Longitud del Tramo</t>
  </si>
  <si>
    <t>Caudal de Entrada por Tramo</t>
  </si>
  <si>
    <t>Perdidas de Cabeza en la Manguera</t>
  </si>
  <si>
    <t>Area de las Perforaciones</t>
  </si>
  <si>
    <r>
      <t>cm</t>
    </r>
    <r>
      <rPr>
        <vertAlign val="super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  <charset val="1"/>
      </rPr>
      <t>/m</t>
    </r>
  </si>
  <si>
    <t>Velocidad en las Perforaciones</t>
  </si>
  <si>
    <t>Coeficiente de Perdidas Km</t>
  </si>
  <si>
    <t>Perdidas de Cabeza en Perforaciones</t>
  </si>
  <si>
    <t xml:space="preserve">cm  </t>
  </si>
  <si>
    <t>Caudal</t>
  </si>
  <si>
    <t>Pérdidas</t>
  </si>
  <si>
    <t>TUBERIA DE AIREACIÓN</t>
  </si>
  <si>
    <t>Longitud del Tramo Inicial</t>
  </si>
  <si>
    <t>Longitud de la Línea</t>
  </si>
  <si>
    <t>Diámetro D</t>
  </si>
  <si>
    <t>Perdidas de Cabeza en la Tubería de Aire Presurizado</t>
  </si>
  <si>
    <t>Hoja "Tubería del Soplador "</t>
  </si>
  <si>
    <t>D</t>
  </si>
  <si>
    <t>Caudal de Aire Descomprimido en el Sitio</t>
  </si>
  <si>
    <t>Potencia Hidráulica Aplicada por Boquillas</t>
  </si>
  <si>
    <t>L</t>
  </si>
  <si>
    <t>Re</t>
  </si>
  <si>
    <t>Ramales</t>
  </si>
  <si>
    <t>Tubería de Descarga de Soplador</t>
  </si>
  <si>
    <t xml:space="preserve">PVC </t>
  </si>
  <si>
    <t>Potencia Hidraulica Aplicada por Soplador</t>
  </si>
  <si>
    <t>Capítulo A-4</t>
  </si>
  <si>
    <t>AOTR</t>
  </si>
  <si>
    <t>Ecuación A-8</t>
  </si>
  <si>
    <t>Qa</t>
  </si>
  <si>
    <t>COx</t>
  </si>
  <si>
    <t>E</t>
  </si>
  <si>
    <t>Pa</t>
  </si>
  <si>
    <t xml:space="preserve">Ecuación A-24. Metcalf &amp; Eddy. (Ref. A-1)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</si>
</sst>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00"/>
    <numFmt numFmtId="165" formatCode="_-* #,##0.00\ _€_-;\-* #,##0.00\ _€_-;_-* \-??\ _€_-;_-@_-"/>
    <numFmt numFmtId="166" formatCode="_ * #,##0.00_ ;_ * \-#,##0.00_ ;_ * \-??_ ;_ @_ "/>
    <numFmt numFmtId="167" formatCode="0.0"/>
    <numFmt numFmtId="168" formatCode="0.000000"/>
    <numFmt numFmtId="169" formatCode="_(* #,##0.00_);_(* \(#,##0.00\);_(* &quot;-&quot;??_);_(@_)"/>
    <numFmt numFmtId="170" formatCode="#,##0.0"/>
    <numFmt numFmtId="172" formatCode="_-* #,##0_-;\-* #,##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  <charset val="1"/>
    </font>
    <font>
      <b/>
      <sz val="12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00000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  <charset val="1"/>
    </font>
    <font>
      <sz val="11"/>
      <color rgb="FFFF0000"/>
      <name val="Arial"/>
      <family val="2"/>
      <charset val="1"/>
    </font>
    <font>
      <sz val="10"/>
      <name val="Arial"/>
      <family val="2"/>
      <charset val="1"/>
    </font>
    <font>
      <sz val="11"/>
      <color theme="1"/>
      <name val="Arial"/>
      <family val="2"/>
      <charset val="1"/>
    </font>
    <font>
      <vertAlign val="subscript"/>
      <sz val="11"/>
      <name val="Arial"/>
      <family val="2"/>
    </font>
    <font>
      <sz val="11"/>
      <color theme="1"/>
      <name val="Arial"/>
      <family val="2"/>
    </font>
    <font>
      <b/>
      <sz val="11"/>
      <color rgb="FF000000"/>
      <name val="GreekC"/>
    </font>
    <font>
      <vertAlign val="superscript"/>
      <sz val="11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GreekC"/>
    </font>
    <font>
      <vertAlign val="subscript"/>
      <sz val="11"/>
      <color rgb="FF000000"/>
      <name val="Arial"/>
      <family val="2"/>
    </font>
    <font>
      <sz val="9"/>
      <color theme="1"/>
      <name val="Arial"/>
      <family val="2"/>
    </font>
    <font>
      <b/>
      <sz val="16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CCFF99"/>
        <bgColor rgb="FFCCFFCC"/>
      </patternFill>
    </fill>
    <fill>
      <patternFill patternType="solid">
        <fgColor rgb="FFD2F9FE"/>
        <bgColor rgb="FFCCFFFF"/>
      </patternFill>
    </fill>
    <fill>
      <patternFill patternType="solid">
        <fgColor theme="8" tint="0.79998168889431442"/>
        <bgColor rgb="FFDBEEF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rgb="FFFBE5D6"/>
      </patternFill>
    </fill>
    <fill>
      <patternFill patternType="solid">
        <fgColor rgb="FFFFF2CC"/>
        <bgColor rgb="FFDEEBF7"/>
      </patternFill>
    </fill>
    <fill>
      <patternFill patternType="solid">
        <fgColor rgb="FFCCFF99"/>
        <bgColor rgb="FFEBFED2"/>
      </patternFill>
    </fill>
    <fill>
      <patternFill patternType="solid">
        <fgColor rgb="FFFFFFCC"/>
        <bgColor rgb="FFDCE6F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rgb="FFD2F9FE"/>
      </patternFill>
    </fill>
    <fill>
      <patternFill patternType="solid">
        <fgColor theme="0"/>
        <bgColor rgb="FFEBF1DE"/>
      </patternFill>
    </fill>
    <fill>
      <patternFill patternType="solid">
        <fgColor theme="5" tint="0.79998168889431442"/>
        <bgColor rgb="FFEEECE1"/>
      </patternFill>
    </fill>
    <fill>
      <patternFill patternType="solid">
        <fgColor rgb="FFCEF8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FFF2CC"/>
        <bgColor rgb="FFCCFFFF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EBFED2"/>
      </patternFill>
    </fill>
    <fill>
      <patternFill patternType="solid">
        <fgColor theme="5" tint="0.79998168889431442"/>
        <bgColor rgb="FFEBF1D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EBF1DE"/>
      </patternFill>
    </fill>
    <fill>
      <patternFill patternType="solid">
        <fgColor theme="5" tint="0.79998168889431442"/>
        <bgColor rgb="FFDEEBF7"/>
      </patternFill>
    </fill>
    <fill>
      <patternFill patternType="solid">
        <fgColor rgb="FFD2FAFE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7" tint="0.79998168889431442"/>
        <bgColor rgb="FFD2F9FE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16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 indent="1"/>
    </xf>
    <xf numFmtId="0" fontId="5" fillId="0" borderId="0" xfId="0" applyFont="1"/>
    <xf numFmtId="0" fontId="3" fillId="2" borderId="2" xfId="0" applyFont="1" applyFill="1" applyBorder="1"/>
    <xf numFmtId="0" fontId="3" fillId="0" borderId="0" xfId="0" applyFont="1"/>
    <xf numFmtId="0" fontId="3" fillId="3" borderId="2" xfId="0" applyFont="1" applyFill="1" applyBorder="1"/>
    <xf numFmtId="0" fontId="5" fillId="4" borderId="2" xfId="0" applyFont="1" applyFill="1" applyBorder="1"/>
    <xf numFmtId="0" fontId="6" fillId="0" borderId="3" xfId="0" applyFont="1" applyBorder="1"/>
    <xf numFmtId="0" fontId="6" fillId="0" borderId="0" xfId="0" applyFont="1"/>
    <xf numFmtId="0" fontId="7" fillId="5" borderId="2" xfId="0" applyFont="1" applyFill="1" applyBorder="1"/>
    <xf numFmtId="0" fontId="7" fillId="0" borderId="0" xfId="0" applyFont="1"/>
    <xf numFmtId="0" fontId="3" fillId="6" borderId="2" xfId="0" applyFont="1" applyFill="1" applyBorder="1"/>
    <xf numFmtId="0" fontId="3" fillId="7" borderId="2" xfId="0" applyFont="1" applyFill="1" applyBorder="1"/>
    <xf numFmtId="0" fontId="8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applyFont="1"/>
    <xf numFmtId="0" fontId="5" fillId="8" borderId="6" xfId="0" applyFont="1" applyFill="1" applyBorder="1" applyAlignment="1">
      <alignment horizontal="center"/>
    </xf>
    <xf numFmtId="2" fontId="3" fillId="8" borderId="6" xfId="0" applyNumberFormat="1" applyFont="1" applyFill="1" applyBorder="1" applyAlignment="1">
      <alignment horizontal="right" indent="1"/>
    </xf>
    <xf numFmtId="2" fontId="3" fillId="0" borderId="6" xfId="0" applyNumberFormat="1" applyFont="1" applyBorder="1" applyAlignment="1">
      <alignment horizontal="right" indent="1"/>
    </xf>
    <xf numFmtId="2" fontId="3" fillId="0" borderId="2" xfId="0" applyNumberFormat="1" applyFont="1" applyBorder="1" applyAlignment="1">
      <alignment horizontal="right" indent="1"/>
    </xf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5" fillId="0" borderId="5" xfId="0" applyFont="1" applyBorder="1"/>
    <xf numFmtId="164" fontId="5" fillId="0" borderId="6" xfId="0" applyNumberFormat="1" applyFont="1" applyBorder="1" applyAlignment="1">
      <alignment horizontal="right" indent="1"/>
    </xf>
    <xf numFmtId="0" fontId="3" fillId="7" borderId="5" xfId="0" applyFont="1" applyFill="1" applyBorder="1"/>
    <xf numFmtId="0" fontId="3" fillId="7" borderId="6" xfId="0" applyFont="1" applyFill="1" applyBorder="1" applyAlignment="1">
      <alignment horizontal="center"/>
    </xf>
    <xf numFmtId="2" fontId="3" fillId="7" borderId="6" xfId="0" applyNumberFormat="1" applyFont="1" applyFill="1" applyBorder="1" applyAlignment="1">
      <alignment horizontal="right" indent="1"/>
    </xf>
    <xf numFmtId="165" fontId="3" fillId="0" borderId="0" xfId="0" applyNumberFormat="1" applyFont="1" applyAlignment="1">
      <alignment horizontal="right" indent="1"/>
    </xf>
    <xf numFmtId="0" fontId="12" fillId="9" borderId="5" xfId="0" applyFont="1" applyFill="1" applyBorder="1" applyAlignment="1">
      <alignment horizontal="left" vertical="center" wrapText="1"/>
    </xf>
    <xf numFmtId="0" fontId="12" fillId="9" borderId="6" xfId="0" applyFont="1" applyFill="1" applyBorder="1" applyAlignment="1">
      <alignment horizontal="center" vertical="center" wrapText="1"/>
    </xf>
    <xf numFmtId="2" fontId="3" fillId="9" borderId="6" xfId="0" applyNumberFormat="1" applyFont="1" applyFill="1" applyBorder="1" applyAlignment="1">
      <alignment horizontal="right" indent="1"/>
    </xf>
    <xf numFmtId="0" fontId="12" fillId="10" borderId="5" xfId="0" applyFont="1" applyFill="1" applyBorder="1" applyAlignment="1">
      <alignment horizontal="left" vertical="center" wrapText="1"/>
    </xf>
    <xf numFmtId="0" fontId="12" fillId="10" borderId="6" xfId="0" applyFont="1" applyFill="1" applyBorder="1" applyAlignment="1">
      <alignment horizontal="center" vertical="center" wrapText="1"/>
    </xf>
    <xf numFmtId="2" fontId="3" fillId="10" borderId="6" xfId="0" applyNumberFormat="1" applyFont="1" applyFill="1" applyBorder="1" applyAlignment="1">
      <alignment horizontal="right" indent="1"/>
    </xf>
    <xf numFmtId="0" fontId="5" fillId="0" borderId="0" xfId="0" applyFont="1" applyAlignment="1">
      <alignment horizontal="left"/>
    </xf>
    <xf numFmtId="2" fontId="7" fillId="0" borderId="6" xfId="0" applyNumberFormat="1" applyFont="1" applyBorder="1" applyAlignment="1">
      <alignment horizontal="right" indent="1"/>
    </xf>
    <xf numFmtId="0" fontId="7" fillId="12" borderId="6" xfId="0" applyFont="1" applyFill="1" applyBorder="1" applyAlignment="1">
      <alignment horizontal="center"/>
    </xf>
    <xf numFmtId="2" fontId="7" fillId="12" borderId="6" xfId="0" applyNumberFormat="1" applyFont="1" applyFill="1" applyBorder="1" applyAlignment="1">
      <alignment horizontal="right" indent="1"/>
    </xf>
    <xf numFmtId="2" fontId="7" fillId="12" borderId="9" xfId="0" applyNumberFormat="1" applyFont="1" applyFill="1" applyBorder="1" applyAlignment="1">
      <alignment horizontal="right" indent="1"/>
    </xf>
    <xf numFmtId="0" fontId="3" fillId="12" borderId="6" xfId="0" applyFont="1" applyFill="1" applyBorder="1" applyAlignment="1">
      <alignment horizontal="center"/>
    </xf>
    <xf numFmtId="2" fontId="3" fillId="12" borderId="6" xfId="0" applyNumberFormat="1" applyFont="1" applyFill="1" applyBorder="1" applyAlignment="1">
      <alignment horizontal="right" indent="1"/>
    </xf>
    <xf numFmtId="0" fontId="5" fillId="13" borderId="6" xfId="0" applyFont="1" applyFill="1" applyBorder="1" applyAlignment="1">
      <alignment horizontal="center" vertical="center"/>
    </xf>
    <xf numFmtId="164" fontId="5" fillId="13" borderId="6" xfId="0" applyNumberFormat="1" applyFont="1" applyFill="1" applyBorder="1" applyAlignment="1">
      <alignment horizontal="right" vertical="center" indent="1"/>
    </xf>
    <xf numFmtId="0" fontId="3" fillId="9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2" fontId="3" fillId="0" borderId="9" xfId="0" applyNumberFormat="1" applyFont="1" applyBorder="1" applyAlignment="1">
      <alignment horizontal="right" indent="1"/>
    </xf>
    <xf numFmtId="0" fontId="3" fillId="14" borderId="5" xfId="0" applyFont="1" applyFill="1" applyBorder="1" applyAlignment="1">
      <alignment vertical="center"/>
    </xf>
    <xf numFmtId="0" fontId="3" fillId="14" borderId="6" xfId="0" applyFont="1" applyFill="1" applyBorder="1" applyAlignment="1">
      <alignment horizontal="center" vertical="center"/>
    </xf>
    <xf numFmtId="2" fontId="5" fillId="14" borderId="6" xfId="0" applyNumberFormat="1" applyFont="1" applyFill="1" applyBorder="1" applyAlignment="1">
      <alignment horizontal="right" vertical="center" indent="1"/>
    </xf>
    <xf numFmtId="0" fontId="5" fillId="14" borderId="7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167" fontId="5" fillId="0" borderId="6" xfId="0" applyNumberFormat="1" applyFont="1" applyBorder="1" applyAlignment="1">
      <alignment horizontal="right" vertical="center" indent="1"/>
    </xf>
    <xf numFmtId="0" fontId="3" fillId="0" borderId="7" xfId="0" applyFont="1" applyBorder="1" applyAlignment="1">
      <alignment vertical="center"/>
    </xf>
    <xf numFmtId="10" fontId="7" fillId="0" borderId="6" xfId="1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right" vertical="center" inden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0" fillId="0" borderId="6" xfId="0" applyBorder="1"/>
    <xf numFmtId="0" fontId="0" fillId="0" borderId="2" xfId="0" applyBorder="1"/>
    <xf numFmtId="0" fontId="5" fillId="0" borderId="6" xfId="0" applyFont="1" applyBorder="1"/>
    <xf numFmtId="3" fontId="3" fillId="0" borderId="5" xfId="0" applyNumberFormat="1" applyFont="1" applyBorder="1" applyAlignment="1">
      <alignment horizontal="right" inden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/>
    <xf numFmtId="2" fontId="3" fillId="0" borderId="5" xfId="0" applyNumberFormat="1" applyFont="1" applyBorder="1" applyAlignment="1">
      <alignment horizontal="right" indent="1"/>
    </xf>
    <xf numFmtId="2" fontId="7" fillId="0" borderId="5" xfId="0" applyNumberFormat="1" applyFont="1" applyBorder="1" applyAlignment="1">
      <alignment horizontal="right" indent="1"/>
    </xf>
    <xf numFmtId="0" fontId="3" fillId="0" borderId="6" xfId="0" applyFont="1" applyBorder="1" applyAlignment="1">
      <alignment horizontal="left"/>
    </xf>
    <xf numFmtId="0" fontId="6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7" fillId="15" borderId="2" xfId="0" applyFont="1" applyFill="1" applyBorder="1" applyAlignment="1">
      <alignment horizontal="center" vertical="center" wrapText="1"/>
    </xf>
    <xf numFmtId="2" fontId="17" fillId="15" borderId="2" xfId="0" applyNumberFormat="1" applyFont="1" applyFill="1" applyBorder="1" applyAlignment="1">
      <alignment horizontal="center" vertical="center" wrapText="1"/>
    </xf>
    <xf numFmtId="168" fontId="17" fillId="15" borderId="2" xfId="0" applyNumberFormat="1" applyFont="1" applyFill="1" applyBorder="1" applyAlignment="1">
      <alignment horizontal="center" vertical="center" wrapText="1"/>
    </xf>
    <xf numFmtId="11" fontId="0" fillId="0" borderId="2" xfId="0" applyNumberFormat="1" applyBorder="1" applyAlignment="1">
      <alignment horizontal="center"/>
    </xf>
    <xf numFmtId="0" fontId="2" fillId="0" borderId="11" xfId="2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0" xfId="0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9" fillId="0" borderId="5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2" fontId="3" fillId="0" borderId="2" xfId="0" applyNumberFormat="1" applyFont="1" applyBorder="1" applyAlignment="1">
      <alignment horizontal="right" vertical="center" indent="1"/>
    </xf>
    <xf numFmtId="0" fontId="5" fillId="8" borderId="6" xfId="0" applyFont="1" applyFill="1" applyBorder="1"/>
    <xf numFmtId="0" fontId="10" fillId="0" borderId="2" xfId="0" applyFont="1" applyBorder="1" applyAlignment="1">
      <alignment horizontal="right"/>
    </xf>
    <xf numFmtId="2" fontId="3" fillId="0" borderId="7" xfId="0" applyNumberFormat="1" applyFont="1" applyBorder="1" applyAlignment="1">
      <alignment horizontal="right" vertical="center" indent="1"/>
    </xf>
    <xf numFmtId="0" fontId="3" fillId="16" borderId="6" xfId="0" applyFont="1" applyFill="1" applyBorder="1" applyAlignment="1">
      <alignment vertical="center" wrapText="1"/>
    </xf>
    <xf numFmtId="0" fontId="3" fillId="16" borderId="6" xfId="0" applyFont="1" applyFill="1" applyBorder="1" applyAlignment="1">
      <alignment horizontal="center"/>
    </xf>
    <xf numFmtId="2" fontId="3" fillId="17" borderId="6" xfId="0" applyNumberFormat="1" applyFont="1" applyFill="1" applyBorder="1" applyAlignment="1">
      <alignment horizontal="right" indent="1"/>
    </xf>
    <xf numFmtId="0" fontId="3" fillId="16" borderId="6" xfId="0" applyFont="1" applyFill="1" applyBorder="1" applyAlignment="1">
      <alignment horizontal="left"/>
    </xf>
    <xf numFmtId="0" fontId="5" fillId="3" borderId="5" xfId="0" applyFont="1" applyFill="1" applyBorder="1"/>
    <xf numFmtId="1" fontId="5" fillId="11" borderId="6" xfId="0" applyNumberFormat="1" applyFont="1" applyFill="1" applyBorder="1" applyAlignment="1">
      <alignment horizontal="center"/>
    </xf>
    <xf numFmtId="2" fontId="5" fillId="11" borderId="6" xfId="0" applyNumberFormat="1" applyFont="1" applyFill="1" applyBorder="1" applyAlignment="1">
      <alignment horizontal="right" indent="1"/>
    </xf>
    <xf numFmtId="0" fontId="7" fillId="12" borderId="6" xfId="0" applyFont="1" applyFill="1" applyBorder="1" applyAlignment="1">
      <alignment vertical="center"/>
    </xf>
    <xf numFmtId="2" fontId="7" fillId="0" borderId="8" xfId="0" applyNumberFormat="1" applyFont="1" applyBorder="1" applyAlignment="1">
      <alignment horizontal="right" indent="1"/>
    </xf>
    <xf numFmtId="0" fontId="3" fillId="17" borderId="6" xfId="0" applyFont="1" applyFill="1" applyBorder="1" applyAlignment="1">
      <alignment vertical="center" wrapText="1"/>
    </xf>
    <xf numFmtId="0" fontId="3" fillId="17" borderId="6" xfId="0" applyFont="1" applyFill="1" applyBorder="1" applyAlignment="1">
      <alignment horizontal="center" vertical="center"/>
    </xf>
    <xf numFmtId="2" fontId="3" fillId="17" borderId="6" xfId="0" applyNumberFormat="1" applyFont="1" applyFill="1" applyBorder="1" applyAlignment="1">
      <alignment horizontal="right" vertical="center" indent="1"/>
    </xf>
    <xf numFmtId="0" fontId="7" fillId="0" borderId="6" xfId="0" applyFont="1" applyBorder="1"/>
    <xf numFmtId="0" fontId="3" fillId="17" borderId="5" xfId="0" applyFont="1" applyFill="1" applyBorder="1" applyAlignment="1">
      <alignment vertical="center"/>
    </xf>
    <xf numFmtId="0" fontId="3" fillId="17" borderId="6" xfId="0" applyFont="1" applyFill="1" applyBorder="1" applyAlignment="1">
      <alignment horizontal="center"/>
    </xf>
    <xf numFmtId="0" fontId="3" fillId="17" borderId="6" xfId="0" applyFont="1" applyFill="1" applyBorder="1"/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7" borderId="6" xfId="0" applyFont="1" applyFill="1" applyBorder="1"/>
    <xf numFmtId="0" fontId="3" fillId="9" borderId="6" xfId="0" applyFont="1" applyFill="1" applyBorder="1"/>
    <xf numFmtId="0" fontId="3" fillId="10" borderId="6" xfId="0" applyFont="1" applyFill="1" applyBorder="1"/>
    <xf numFmtId="0" fontId="3" fillId="17" borderId="6" xfId="0" applyFont="1" applyFill="1" applyBorder="1" applyAlignment="1">
      <alignment vertical="center"/>
    </xf>
    <xf numFmtId="0" fontId="3" fillId="17" borderId="6" xfId="0" applyFont="1" applyFill="1" applyBorder="1" applyAlignment="1">
      <alignment horizontal="left"/>
    </xf>
    <xf numFmtId="0" fontId="3" fillId="12" borderId="6" xfId="0" applyFont="1" applyFill="1" applyBorder="1" applyAlignment="1">
      <alignment vertical="center"/>
    </xf>
    <xf numFmtId="0" fontId="3" fillId="12" borderId="6" xfId="0" applyFont="1" applyFill="1" applyBorder="1"/>
    <xf numFmtId="0" fontId="5" fillId="13" borderId="6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/>
    </xf>
    <xf numFmtId="2" fontId="3" fillId="18" borderId="6" xfId="0" applyNumberFormat="1" applyFont="1" applyFill="1" applyBorder="1" applyAlignment="1">
      <alignment horizontal="right" indent="1"/>
    </xf>
    <xf numFmtId="0" fontId="3" fillId="5" borderId="6" xfId="0" applyFont="1" applyFill="1" applyBorder="1"/>
    <xf numFmtId="166" fontId="5" fillId="0" borderId="6" xfId="0" applyNumberFormat="1" applyFont="1" applyBorder="1" applyAlignment="1">
      <alignment horizontal="right" indent="1"/>
    </xf>
    <xf numFmtId="166" fontId="3" fillId="0" borderId="6" xfId="0" applyNumberFormat="1" applyFont="1" applyBorder="1" applyAlignment="1">
      <alignment horizontal="right" indent="1"/>
    </xf>
    <xf numFmtId="0" fontId="5" fillId="19" borderId="5" xfId="0" applyFont="1" applyFill="1" applyBorder="1"/>
    <xf numFmtId="1" fontId="5" fillId="19" borderId="6" xfId="0" applyNumberFormat="1" applyFont="1" applyFill="1" applyBorder="1" applyAlignment="1">
      <alignment horizontal="center"/>
    </xf>
    <xf numFmtId="2" fontId="5" fillId="19" borderId="6" xfId="0" applyNumberFormat="1" applyFont="1" applyFill="1" applyBorder="1" applyAlignment="1">
      <alignment horizontal="right" vertical="center" indent="1"/>
    </xf>
    <xf numFmtId="0" fontId="5" fillId="20" borderId="5" xfId="0" applyFont="1" applyFill="1" applyBorder="1"/>
    <xf numFmtId="1" fontId="5" fillId="20" borderId="6" xfId="0" applyNumberFormat="1" applyFont="1" applyFill="1" applyBorder="1" applyAlignment="1">
      <alignment horizontal="center"/>
    </xf>
    <xf numFmtId="9" fontId="5" fillId="20" borderId="6" xfId="1" applyFont="1" applyFill="1" applyBorder="1" applyAlignment="1">
      <alignment horizontal="right" indent="1"/>
    </xf>
    <xf numFmtId="0" fontId="5" fillId="21" borderId="9" xfId="0" applyFont="1" applyFill="1" applyBorder="1" applyAlignment="1">
      <alignment horizontal="center" vertical="center"/>
    </xf>
    <xf numFmtId="2" fontId="3" fillId="22" borderId="0" xfId="0" applyNumberFormat="1" applyFont="1" applyFill="1" applyAlignment="1">
      <alignment horizontal="right" indent="1"/>
    </xf>
    <xf numFmtId="0" fontId="5" fillId="22" borderId="12" xfId="0" applyFont="1" applyFill="1" applyBorder="1" applyAlignment="1">
      <alignment horizontal="center"/>
    </xf>
    <xf numFmtId="2" fontId="3" fillId="22" borderId="12" xfId="0" applyNumberFormat="1" applyFont="1" applyFill="1" applyBorder="1" applyAlignment="1">
      <alignment horizontal="right" indent="1"/>
    </xf>
    <xf numFmtId="2" fontId="3" fillId="0" borderId="11" xfId="0" applyNumberFormat="1" applyFont="1" applyBorder="1" applyAlignment="1">
      <alignment horizontal="right" indent="1"/>
    </xf>
    <xf numFmtId="0" fontId="3" fillId="10" borderId="5" xfId="0" applyFont="1" applyFill="1" applyBorder="1" applyAlignment="1">
      <alignment vertical="center"/>
    </xf>
    <xf numFmtId="0" fontId="3" fillId="10" borderId="6" xfId="0" applyFont="1" applyFill="1" applyBorder="1" applyAlignment="1">
      <alignment horizontal="center"/>
    </xf>
    <xf numFmtId="2" fontId="3" fillId="23" borderId="6" xfId="0" applyNumberFormat="1" applyFont="1" applyFill="1" applyBorder="1" applyAlignment="1">
      <alignment horizontal="right" indent="1"/>
    </xf>
    <xf numFmtId="0" fontId="3" fillId="24" borderId="8" xfId="0" applyFont="1" applyFill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13" borderId="5" xfId="0" applyFont="1" applyFill="1" applyBorder="1" applyAlignment="1">
      <alignment vertical="center"/>
    </xf>
    <xf numFmtId="0" fontId="3" fillId="13" borderId="6" xfId="0" applyFont="1" applyFill="1" applyBorder="1" applyAlignment="1">
      <alignment horizontal="center" vertical="center"/>
    </xf>
    <xf numFmtId="164" fontId="3" fillId="13" borderId="6" xfId="0" applyNumberFormat="1" applyFont="1" applyFill="1" applyBorder="1" applyAlignment="1">
      <alignment horizontal="right" vertical="center" indent="1"/>
    </xf>
    <xf numFmtId="0" fontId="3" fillId="13" borderId="6" xfId="0" applyFont="1" applyFill="1" applyBorder="1" applyAlignment="1">
      <alignment vertical="center"/>
    </xf>
    <xf numFmtId="164" fontId="3" fillId="0" borderId="5" xfId="0" applyNumberFormat="1" applyFont="1" applyBorder="1" applyAlignment="1">
      <alignment horizontal="right" vertical="center" indent="1"/>
    </xf>
    <xf numFmtId="0" fontId="3" fillId="16" borderId="5" xfId="0" applyFont="1" applyFill="1" applyBorder="1" applyAlignment="1">
      <alignment vertical="center" wrapText="1"/>
    </xf>
    <xf numFmtId="10" fontId="3" fillId="16" borderId="6" xfId="0" applyNumberFormat="1" applyFont="1" applyFill="1" applyBorder="1" applyAlignment="1">
      <alignment horizontal="right" indent="1"/>
    </xf>
    <xf numFmtId="10" fontId="3" fillId="0" borderId="5" xfId="0" applyNumberFormat="1" applyFont="1" applyBorder="1" applyAlignment="1">
      <alignment horizontal="right" indent="1"/>
    </xf>
    <xf numFmtId="10" fontId="3" fillId="0" borderId="6" xfId="0" applyNumberFormat="1" applyFont="1" applyBorder="1" applyAlignment="1">
      <alignment horizontal="right" indent="1"/>
    </xf>
    <xf numFmtId="9" fontId="3" fillId="16" borderId="6" xfId="0" applyNumberFormat="1" applyFont="1" applyFill="1" applyBorder="1" applyAlignment="1">
      <alignment horizontal="right" indent="1"/>
    </xf>
    <xf numFmtId="9" fontId="3" fillId="0" borderId="5" xfId="0" applyNumberFormat="1" applyFont="1" applyBorder="1" applyAlignment="1">
      <alignment horizontal="right" indent="1"/>
    </xf>
    <xf numFmtId="0" fontId="3" fillId="24" borderId="5" xfId="0" applyFont="1" applyFill="1" applyBorder="1" applyAlignment="1">
      <alignment vertical="center"/>
    </xf>
    <xf numFmtId="0" fontId="19" fillId="24" borderId="0" xfId="0" applyFont="1" applyFill="1" applyAlignment="1">
      <alignment horizontal="center"/>
    </xf>
    <xf numFmtId="2" fontId="3" fillId="24" borderId="6" xfId="0" applyNumberFormat="1" applyFont="1" applyFill="1" applyBorder="1" applyAlignment="1">
      <alignment horizontal="right" indent="1"/>
    </xf>
    <xf numFmtId="0" fontId="3" fillId="24" borderId="6" xfId="0" applyFont="1" applyFill="1" applyBorder="1"/>
    <xf numFmtId="0" fontId="3" fillId="0" borderId="6" xfId="0" applyFont="1" applyBorder="1" applyAlignment="1">
      <alignment vertical="center"/>
    </xf>
    <xf numFmtId="9" fontId="3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12" xfId="0" applyFont="1" applyBorder="1" applyAlignment="1">
      <alignment vertical="center"/>
    </xf>
    <xf numFmtId="9" fontId="3" fillId="0" borderId="12" xfId="0" applyNumberFormat="1" applyFont="1" applyBorder="1" applyAlignment="1">
      <alignment horizontal="center"/>
    </xf>
    <xf numFmtId="2" fontId="3" fillId="12" borderId="12" xfId="0" applyNumberFormat="1" applyFont="1" applyFill="1" applyBorder="1" applyAlignment="1">
      <alignment horizontal="right" indent="1"/>
    </xf>
    <xf numFmtId="0" fontId="3" fillId="12" borderId="12" xfId="0" applyFont="1" applyFill="1" applyBorder="1"/>
    <xf numFmtId="0" fontId="3" fillId="17" borderId="8" xfId="0" applyFont="1" applyFill="1" applyBorder="1" applyAlignment="1">
      <alignment vertical="center" wrapText="1"/>
    </xf>
    <xf numFmtId="0" fontId="3" fillId="17" borderId="9" xfId="0" applyFont="1" applyFill="1" applyBorder="1" applyAlignment="1">
      <alignment horizontal="center" vertical="center"/>
    </xf>
    <xf numFmtId="2" fontId="3" fillId="17" borderId="9" xfId="0" applyNumberFormat="1" applyFont="1" applyFill="1" applyBorder="1" applyAlignment="1">
      <alignment horizontal="right" vertical="center" indent="1"/>
    </xf>
    <xf numFmtId="0" fontId="3" fillId="17" borderId="9" xfId="0" applyFont="1" applyFill="1" applyBorder="1" applyAlignment="1">
      <alignment horizontal="left" vertical="center"/>
    </xf>
    <xf numFmtId="0" fontId="3" fillId="16" borderId="6" xfId="0" applyFont="1" applyFill="1" applyBorder="1" applyAlignment="1">
      <alignment vertical="center"/>
    </xf>
    <xf numFmtId="2" fontId="3" fillId="16" borderId="6" xfId="0" applyNumberFormat="1" applyFont="1" applyFill="1" applyBorder="1" applyAlignment="1">
      <alignment horizontal="right" indent="1"/>
    </xf>
    <xf numFmtId="0" fontId="3" fillId="16" borderId="6" xfId="0" applyFont="1" applyFill="1" applyBorder="1"/>
    <xf numFmtId="0" fontId="3" fillId="16" borderId="5" xfId="0" applyFont="1" applyFill="1" applyBorder="1" applyAlignment="1">
      <alignment vertical="center"/>
    </xf>
    <xf numFmtId="0" fontId="3" fillId="10" borderId="6" xfId="0" applyFont="1" applyFill="1" applyBorder="1" applyAlignment="1">
      <alignment vertical="center"/>
    </xf>
    <xf numFmtId="164" fontId="3" fillId="23" borderId="6" xfId="0" applyNumberFormat="1" applyFont="1" applyFill="1" applyBorder="1" applyAlignment="1">
      <alignment horizontal="right" indent="1"/>
    </xf>
    <xf numFmtId="164" fontId="3" fillId="0" borderId="5" xfId="0" applyNumberFormat="1" applyFont="1" applyBorder="1" applyAlignment="1">
      <alignment horizontal="right" indent="1"/>
    </xf>
    <xf numFmtId="0" fontId="7" fillId="0" borderId="5" xfId="0" applyFont="1" applyBorder="1" applyAlignment="1">
      <alignment horizontal="left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left"/>
    </xf>
    <xf numFmtId="0" fontId="14" fillId="0" borderId="6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7" fillId="16" borderId="5" xfId="0" applyFont="1" applyFill="1" applyBorder="1" applyAlignment="1">
      <alignment horizontal="left"/>
    </xf>
    <xf numFmtId="0" fontId="14" fillId="16" borderId="6" xfId="0" applyFont="1" applyFill="1" applyBorder="1" applyAlignment="1">
      <alignment horizontal="center"/>
    </xf>
    <xf numFmtId="0" fontId="14" fillId="16" borderId="6" xfId="0" applyFont="1" applyFill="1" applyBorder="1" applyAlignment="1">
      <alignment horizontal="left"/>
    </xf>
    <xf numFmtId="0" fontId="3" fillId="26" borderId="5" xfId="0" applyFont="1" applyFill="1" applyBorder="1"/>
    <xf numFmtId="0" fontId="3" fillId="26" borderId="6" xfId="0" applyFont="1" applyFill="1" applyBorder="1"/>
    <xf numFmtId="2" fontId="3" fillId="26" borderId="6" xfId="0" applyNumberFormat="1" applyFont="1" applyFill="1" applyBorder="1" applyAlignment="1">
      <alignment horizontal="right" indent="1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right" indent="1"/>
    </xf>
    <xf numFmtId="0" fontId="3" fillId="16" borderId="6" xfId="0" applyFont="1" applyFill="1" applyBorder="1" applyAlignment="1">
      <alignment horizontal="center" vertical="center"/>
    </xf>
    <xf numFmtId="2" fontId="5" fillId="16" borderId="6" xfId="0" applyNumberFormat="1" applyFont="1" applyFill="1" applyBorder="1" applyAlignment="1">
      <alignment horizontal="right" vertical="center" indent="1"/>
    </xf>
    <xf numFmtId="0" fontId="5" fillId="16" borderId="7" xfId="0" applyFont="1" applyFill="1" applyBorder="1" applyAlignment="1">
      <alignment horizontal="left" vertical="center"/>
    </xf>
    <xf numFmtId="0" fontId="5" fillId="16" borderId="5" xfId="0" applyFont="1" applyFill="1" applyBorder="1" applyAlignment="1">
      <alignment vertical="center"/>
    </xf>
    <xf numFmtId="0" fontId="7" fillId="16" borderId="6" xfId="0" applyFont="1" applyFill="1" applyBorder="1" applyAlignment="1">
      <alignment horizontal="center" vertical="center"/>
    </xf>
    <xf numFmtId="0" fontId="3" fillId="16" borderId="7" xfId="0" applyFont="1" applyFill="1" applyBorder="1" applyAlignment="1">
      <alignment vertical="center"/>
    </xf>
    <xf numFmtId="167" fontId="3" fillId="0" borderId="6" xfId="0" applyNumberFormat="1" applyFont="1" applyBorder="1" applyAlignment="1">
      <alignment horizontal="right" vertical="center" indent="1"/>
    </xf>
    <xf numFmtId="0" fontId="7" fillId="0" borderId="6" xfId="0" applyFont="1" applyBorder="1" applyAlignment="1">
      <alignment horizontal="center" vertical="center"/>
    </xf>
    <xf numFmtId="0" fontId="5" fillId="10" borderId="5" xfId="0" applyFont="1" applyFill="1" applyBorder="1" applyAlignment="1">
      <alignment vertical="center"/>
    </xf>
    <xf numFmtId="0" fontId="7" fillId="10" borderId="6" xfId="0" applyFont="1" applyFill="1" applyBorder="1" applyAlignment="1">
      <alignment horizontal="center" vertical="center"/>
    </xf>
    <xf numFmtId="2" fontId="5" fillId="10" borderId="6" xfId="0" applyNumberFormat="1" applyFont="1" applyFill="1" applyBorder="1" applyAlignment="1">
      <alignment horizontal="right" vertical="center" indent="1"/>
    </xf>
    <xf numFmtId="0" fontId="3" fillId="10" borderId="7" xfId="0" applyFont="1" applyFill="1" applyBorder="1" applyAlignment="1">
      <alignment vertical="center"/>
    </xf>
    <xf numFmtId="0" fontId="5" fillId="11" borderId="5" xfId="0" applyFont="1" applyFill="1" applyBorder="1" applyAlignment="1">
      <alignment vertical="center"/>
    </xf>
    <xf numFmtId="0" fontId="5" fillId="11" borderId="6" xfId="0" applyFont="1" applyFill="1" applyBorder="1" applyAlignment="1">
      <alignment horizontal="center" vertical="center"/>
    </xf>
    <xf numFmtId="2" fontId="3" fillId="11" borderId="6" xfId="0" applyNumberFormat="1" applyFont="1" applyFill="1" applyBorder="1" applyAlignment="1">
      <alignment horizontal="right" vertical="center" indent="1"/>
    </xf>
    <xf numFmtId="0" fontId="5" fillId="11" borderId="7" xfId="0" applyFont="1" applyFill="1" applyBorder="1" applyAlignment="1">
      <alignment vertical="center"/>
    </xf>
    <xf numFmtId="0" fontId="0" fillId="0" borderId="7" xfId="0" applyBorder="1"/>
    <xf numFmtId="0" fontId="8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3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horizontal="right"/>
    </xf>
    <xf numFmtId="0" fontId="14" fillId="0" borderId="7" xfId="0" applyFont="1" applyBorder="1" applyAlignment="1">
      <alignment horizontal="right"/>
    </xf>
    <xf numFmtId="0" fontId="14" fillId="0" borderId="7" xfId="0" applyFont="1" applyBorder="1"/>
    <xf numFmtId="0" fontId="7" fillId="0" borderId="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7" fillId="0" borderId="6" xfId="0" applyFont="1" applyBorder="1" applyAlignment="1">
      <alignment horizontal="left"/>
    </xf>
    <xf numFmtId="0" fontId="3" fillId="9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5" xfId="0" applyBorder="1"/>
    <xf numFmtId="0" fontId="8" fillId="0" borderId="5" xfId="0" applyFont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/>
    </xf>
    <xf numFmtId="0" fontId="0" fillId="5" borderId="6" xfId="0" applyFill="1" applyBorder="1" applyAlignment="1">
      <alignment vertical="center"/>
    </xf>
    <xf numFmtId="0" fontId="21" fillId="5" borderId="6" xfId="0" applyFont="1" applyFill="1" applyBorder="1" applyAlignment="1">
      <alignment horizontal="right" vertical="center"/>
    </xf>
    <xf numFmtId="2" fontId="6" fillId="5" borderId="6" xfId="0" applyNumberFormat="1" applyFont="1" applyFill="1" applyBorder="1" applyAlignment="1">
      <alignment horizontal="right" vertical="center" indent="1"/>
    </xf>
    <xf numFmtId="0" fontId="6" fillId="5" borderId="6" xfId="0" applyFont="1" applyFill="1" applyBorder="1" applyAlignment="1">
      <alignment vertical="center"/>
    </xf>
    <xf numFmtId="2" fontId="6" fillId="0" borderId="2" xfId="0" applyNumberFormat="1" applyFont="1" applyBorder="1" applyAlignment="1">
      <alignment horizontal="right" vertical="center" indent="1"/>
    </xf>
    <xf numFmtId="0" fontId="9" fillId="0" borderId="5" xfId="0" applyFont="1" applyBorder="1" applyAlignment="1">
      <alignment horizontal="left" vertical="center"/>
    </xf>
    <xf numFmtId="0" fontId="22" fillId="0" borderId="6" xfId="0" applyFont="1" applyBorder="1" applyAlignment="1">
      <alignment vertical="center"/>
    </xf>
    <xf numFmtId="2" fontId="6" fillId="0" borderId="6" xfId="0" applyNumberFormat="1" applyFont="1" applyBorder="1" applyAlignment="1">
      <alignment horizontal="right" vertical="center" indent="1"/>
    </xf>
    <xf numFmtId="2" fontId="6" fillId="0" borderId="5" xfId="0" applyNumberFormat="1" applyFont="1" applyBorder="1" applyAlignment="1">
      <alignment horizontal="right" vertical="center" indent="1"/>
    </xf>
    <xf numFmtId="0" fontId="6" fillId="0" borderId="5" xfId="0" applyFont="1" applyBorder="1" applyAlignment="1">
      <alignment horizontal="right"/>
    </xf>
    <xf numFmtId="4" fontId="3" fillId="0" borderId="6" xfId="0" applyNumberFormat="1" applyFont="1" applyBorder="1" applyAlignment="1">
      <alignment horizontal="right" indent="1"/>
    </xf>
    <xf numFmtId="0" fontId="3" fillId="27" borderId="5" xfId="0" applyFont="1" applyFill="1" applyBorder="1"/>
    <xf numFmtId="0" fontId="3" fillId="27" borderId="6" xfId="0" applyFont="1" applyFill="1" applyBorder="1" applyAlignment="1">
      <alignment horizontal="center"/>
    </xf>
    <xf numFmtId="0" fontId="0" fillId="27" borderId="6" xfId="0" applyFill="1" applyBorder="1"/>
    <xf numFmtId="2" fontId="3" fillId="27" borderId="6" xfId="0" applyNumberFormat="1" applyFont="1" applyFill="1" applyBorder="1" applyAlignment="1">
      <alignment horizontal="right" indent="1"/>
    </xf>
    <xf numFmtId="0" fontId="3" fillId="27" borderId="6" xfId="0" applyFont="1" applyFill="1" applyBorder="1"/>
    <xf numFmtId="0" fontId="3" fillId="27" borderId="5" xfId="0" applyFont="1" applyFill="1" applyBorder="1" applyAlignment="1">
      <alignment horizontal="left"/>
    </xf>
    <xf numFmtId="0" fontId="3" fillId="27" borderId="6" xfId="0" applyFont="1" applyFill="1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2" fontId="3" fillId="0" borderId="12" xfId="0" applyNumberFormat="1" applyFont="1" applyBorder="1" applyAlignment="1">
      <alignment horizontal="right" vertical="center" indent="1"/>
    </xf>
    <xf numFmtId="2" fontId="3" fillId="0" borderId="11" xfId="0" applyNumberFormat="1" applyFont="1" applyBorder="1" applyAlignment="1">
      <alignment horizontal="right" vertical="center" indent="1"/>
    </xf>
    <xf numFmtId="1" fontId="3" fillId="0" borderId="12" xfId="0" applyNumberFormat="1" applyFont="1" applyBorder="1" applyAlignment="1">
      <alignment horizontal="right" vertical="center" indent="1"/>
    </xf>
    <xf numFmtId="11" fontId="7" fillId="12" borderId="6" xfId="0" applyNumberFormat="1" applyFont="1" applyFill="1" applyBorder="1" applyAlignment="1">
      <alignment horizontal="right" indent="1"/>
    </xf>
    <xf numFmtId="0" fontId="6" fillId="0" borderId="6" xfId="0" applyFont="1" applyBorder="1" applyAlignment="1">
      <alignment horizontal="center"/>
    </xf>
    <xf numFmtId="164" fontId="3" fillId="0" borderId="1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0" fontId="7" fillId="0" borderId="5" xfId="0" applyNumberFormat="1" applyFont="1" applyBorder="1"/>
    <xf numFmtId="169" fontId="7" fillId="0" borderId="6" xfId="0" applyNumberFormat="1" applyFont="1" applyBorder="1"/>
    <xf numFmtId="164" fontId="7" fillId="0" borderId="6" xfId="0" applyNumberFormat="1" applyFont="1" applyBorder="1" applyAlignment="1">
      <alignment horizontal="right" indent="1"/>
    </xf>
    <xf numFmtId="2" fontId="7" fillId="0" borderId="6" xfId="0" applyNumberFormat="1" applyFont="1" applyBorder="1"/>
    <xf numFmtId="0" fontId="22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21" fillId="0" borderId="5" xfId="0" applyNumberFormat="1" applyFont="1" applyBorder="1" applyAlignment="1">
      <alignment horizontal="right" wrapText="1"/>
    </xf>
    <xf numFmtId="0" fontId="0" fillId="0" borderId="2" xfId="0" applyBorder="1" applyAlignment="1">
      <alignment horizontal="center"/>
    </xf>
    <xf numFmtId="164" fontId="0" fillId="0" borderId="5" xfId="0" applyNumberFormat="1" applyBorder="1" applyAlignment="1">
      <alignment horizontal="right"/>
    </xf>
    <xf numFmtId="0" fontId="6" fillId="0" borderId="6" xfId="0" applyFont="1" applyBorder="1" applyAlignment="1">
      <alignment vertical="center"/>
    </xf>
    <xf numFmtId="0" fontId="5" fillId="0" borderId="6" xfId="0" applyFont="1" applyBorder="1" applyAlignment="1">
      <alignment horizontal="right" indent="1"/>
    </xf>
    <xf numFmtId="2" fontId="6" fillId="0" borderId="6" xfId="0" applyNumberFormat="1" applyFont="1" applyBorder="1" applyAlignment="1">
      <alignment horizontal="center"/>
    </xf>
    <xf numFmtId="0" fontId="5" fillId="0" borderId="5" xfId="0" applyFont="1" applyBorder="1" applyAlignment="1">
      <alignment horizontal="right" indent="1"/>
    </xf>
    <xf numFmtId="0" fontId="6" fillId="0" borderId="2" xfId="0" applyFont="1" applyBorder="1" applyAlignment="1">
      <alignment horizontal="right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3" fillId="0" borderId="1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/>
    </xf>
    <xf numFmtId="0" fontId="26" fillId="0" borderId="0" xfId="0" applyFont="1"/>
    <xf numFmtId="0" fontId="0" fillId="0" borderId="8" xfId="0" applyBorder="1"/>
    <xf numFmtId="0" fontId="22" fillId="0" borderId="0" xfId="0" applyFont="1" applyAlignment="1">
      <alignment horizontal="left"/>
    </xf>
    <xf numFmtId="0" fontId="6" fillId="0" borderId="2" xfId="0" applyFont="1" applyBorder="1"/>
    <xf numFmtId="167" fontId="27" fillId="5" borderId="5" xfId="0" applyNumberFormat="1" applyFont="1" applyFill="1" applyBorder="1" applyAlignment="1">
      <alignment horizontal="center"/>
    </xf>
    <xf numFmtId="167" fontId="6" fillId="5" borderId="6" xfId="0" applyNumberFormat="1" applyFont="1" applyFill="1" applyBorder="1" applyAlignment="1">
      <alignment horizontal="center"/>
    </xf>
    <xf numFmtId="167" fontId="6" fillId="5" borderId="6" xfId="0" applyNumberFormat="1" applyFont="1" applyFill="1" applyBorder="1" applyAlignment="1">
      <alignment horizontal="left"/>
    </xf>
    <xf numFmtId="2" fontId="27" fillId="5" borderId="6" xfId="0" applyNumberFormat="1" applyFont="1" applyFill="1" applyBorder="1" applyAlignment="1">
      <alignment horizontal="right" indent="1"/>
    </xf>
    <xf numFmtId="167" fontId="27" fillId="5" borderId="6" xfId="0" applyNumberFormat="1" applyFont="1" applyFill="1" applyBorder="1"/>
    <xf numFmtId="2" fontId="28" fillId="0" borderId="5" xfId="0" applyNumberFormat="1" applyFont="1" applyBorder="1" applyAlignment="1">
      <alignment horizontal="left"/>
    </xf>
    <xf numFmtId="2" fontId="22" fillId="0" borderId="6" xfId="0" applyNumberFormat="1" applyFont="1" applyBorder="1" applyAlignment="1">
      <alignment horizontal="left"/>
    </xf>
    <xf numFmtId="0" fontId="29" fillId="0" borderId="0" xfId="0" applyFont="1" applyAlignment="1">
      <alignment horizontal="right"/>
    </xf>
    <xf numFmtId="2" fontId="27" fillId="0" borderId="6" xfId="0" applyNumberFormat="1" applyFont="1" applyBorder="1" applyAlignment="1">
      <alignment horizontal="right" indent="1"/>
    </xf>
    <xf numFmtId="0" fontId="27" fillId="0" borderId="6" xfId="0" applyFont="1" applyBorder="1"/>
    <xf numFmtId="3" fontId="3" fillId="0" borderId="6" xfId="0" applyNumberFormat="1" applyFont="1" applyBorder="1" applyAlignment="1">
      <alignment horizontal="right" indent="1"/>
    </xf>
    <xf numFmtId="170" fontId="3" fillId="0" borderId="6" xfId="0" applyNumberFormat="1" applyFont="1" applyBorder="1"/>
    <xf numFmtId="2" fontId="6" fillId="0" borderId="6" xfId="0" applyNumberFormat="1" applyFont="1" applyBorder="1" applyAlignment="1">
      <alignment horizontal="right" indent="1"/>
    </xf>
    <xf numFmtId="0" fontId="6" fillId="0" borderId="6" xfId="0" applyFont="1" applyBorder="1"/>
    <xf numFmtId="2" fontId="6" fillId="0" borderId="5" xfId="0" applyNumberFormat="1" applyFont="1" applyBorder="1" applyAlignment="1">
      <alignment horizontal="right" indent="1"/>
    </xf>
    <xf numFmtId="0" fontId="5" fillId="27" borderId="5" xfId="0" applyFont="1" applyFill="1" applyBorder="1"/>
    <xf numFmtId="0" fontId="5" fillId="27" borderId="6" xfId="0" applyFont="1" applyFill="1" applyBorder="1"/>
    <xf numFmtId="3" fontId="3" fillId="27" borderId="6" xfId="0" applyNumberFormat="1" applyFont="1" applyFill="1" applyBorder="1" applyAlignment="1">
      <alignment horizontal="right" indent="1"/>
    </xf>
    <xf numFmtId="170" fontId="3" fillId="27" borderId="6" xfId="0" applyNumberFormat="1" applyFont="1" applyFill="1" applyBorder="1"/>
    <xf numFmtId="0" fontId="3" fillId="27" borderId="5" xfId="0" applyFont="1" applyFill="1" applyBorder="1" applyAlignment="1">
      <alignment vertical="center" wrapText="1"/>
    </xf>
    <xf numFmtId="170" fontId="3" fillId="27" borderId="6" xfId="0" applyNumberFormat="1" applyFont="1" applyFill="1" applyBorder="1" applyAlignment="1">
      <alignment horizontal="right" indent="1"/>
    </xf>
    <xf numFmtId="170" fontId="3" fillId="0" borderId="5" xfId="0" applyNumberFormat="1" applyFont="1" applyBorder="1" applyAlignment="1">
      <alignment horizontal="right" indent="1"/>
    </xf>
    <xf numFmtId="2" fontId="0" fillId="0" borderId="5" xfId="0" applyNumberFormat="1" applyBorder="1" applyAlignment="1">
      <alignment horizontal="center" wrapText="1"/>
    </xf>
    <xf numFmtId="0" fontId="3" fillId="0" borderId="6" xfId="0" applyFont="1" applyBorder="1" applyAlignment="1">
      <alignment horizontal="left" vertical="center"/>
    </xf>
    <xf numFmtId="2" fontId="7" fillId="0" borderId="2" xfId="0" applyNumberFormat="1" applyFont="1" applyBorder="1" applyAlignment="1">
      <alignment horizontal="right" indent="1"/>
    </xf>
    <xf numFmtId="3" fontId="3" fillId="0" borderId="2" xfId="0" applyNumberFormat="1" applyFont="1" applyBorder="1" applyAlignment="1">
      <alignment horizontal="right" indent="1"/>
    </xf>
    <xf numFmtId="170" fontId="3" fillId="0" borderId="6" xfId="0" applyNumberFormat="1" applyFont="1" applyBorder="1" applyAlignment="1">
      <alignment horizontal="right" indent="1"/>
    </xf>
    <xf numFmtId="170" fontId="3" fillId="0" borderId="2" xfId="0" applyNumberFormat="1" applyFont="1" applyBorder="1" applyAlignment="1">
      <alignment horizontal="right" indent="1"/>
    </xf>
    <xf numFmtId="2" fontId="3" fillId="0" borderId="4" xfId="0" applyNumberFormat="1" applyFont="1" applyBorder="1" applyAlignment="1">
      <alignment horizontal="right" vertical="center" indent="1"/>
    </xf>
    <xf numFmtId="0" fontId="3" fillId="27" borderId="5" xfId="0" applyFont="1" applyFill="1" applyBorder="1" applyAlignment="1">
      <alignment horizontal="left" vertical="center"/>
    </xf>
    <xf numFmtId="0" fontId="5" fillId="27" borderId="6" xfId="0" applyFont="1" applyFill="1" applyBorder="1" applyAlignment="1">
      <alignment horizontal="center" vertical="center"/>
    </xf>
    <xf numFmtId="1" fontId="3" fillId="27" borderId="12" xfId="0" applyNumberFormat="1" applyFont="1" applyFill="1" applyBorder="1" applyAlignment="1">
      <alignment horizontal="right" vertical="center" indent="1"/>
    </xf>
    <xf numFmtId="1" fontId="3" fillId="0" borderId="4" xfId="0" applyNumberFormat="1" applyFont="1" applyBorder="1" applyAlignment="1">
      <alignment horizontal="right" vertical="center" indent="1"/>
    </xf>
    <xf numFmtId="2" fontId="3" fillId="0" borderId="12" xfId="0" applyNumberFormat="1" applyFont="1" applyBorder="1" applyAlignment="1">
      <alignment horizontal="right" indent="1"/>
    </xf>
    <xf numFmtId="2" fontId="3" fillId="0" borderId="4" xfId="0" applyNumberFormat="1" applyFont="1" applyBorder="1" applyAlignment="1">
      <alignment horizontal="right" indent="1"/>
    </xf>
    <xf numFmtId="0" fontId="5" fillId="0" borderId="2" xfId="0" applyFont="1" applyBorder="1" applyAlignment="1">
      <alignment horizontal="right" inden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" fontId="3" fillId="0" borderId="2" xfId="0" applyNumberFormat="1" applyFont="1" applyBorder="1" applyAlignment="1">
      <alignment horizontal="right" indent="1"/>
    </xf>
    <xf numFmtId="2" fontId="21" fillId="0" borderId="5" xfId="0" applyNumberFormat="1" applyFont="1" applyBorder="1" applyAlignment="1">
      <alignment horizontal="center" wrapText="1"/>
    </xf>
    <xf numFmtId="2" fontId="21" fillId="0" borderId="2" xfId="0" applyNumberFormat="1" applyFont="1" applyBorder="1" applyAlignment="1">
      <alignment horizontal="center" wrapText="1"/>
    </xf>
    <xf numFmtId="2" fontId="0" fillId="0" borderId="5" xfId="0" applyNumberFormat="1" applyBorder="1" applyAlignment="1">
      <alignment horizontal="center"/>
    </xf>
    <xf numFmtId="0" fontId="14" fillId="0" borderId="0" xfId="0" applyFont="1" applyAlignment="1">
      <alignment horizontal="center" vertical="center"/>
    </xf>
    <xf numFmtId="2" fontId="3" fillId="27" borderId="12" xfId="0" applyNumberFormat="1" applyFont="1" applyFill="1" applyBorder="1" applyAlignment="1">
      <alignment horizontal="right" vertical="center" indent="1"/>
    </xf>
    <xf numFmtId="2" fontId="6" fillId="0" borderId="0" xfId="0" applyNumberFormat="1" applyFont="1" applyAlignment="1">
      <alignment horizontal="center"/>
    </xf>
    <xf numFmtId="0" fontId="7" fillId="12" borderId="5" xfId="0" applyFont="1" applyFill="1" applyBorder="1" applyAlignment="1">
      <alignment vertical="center"/>
    </xf>
    <xf numFmtId="1" fontId="3" fillId="0" borderId="6" xfId="0" applyNumberFormat="1" applyFont="1" applyBorder="1" applyAlignment="1">
      <alignment horizontal="right" indent="1"/>
    </xf>
    <xf numFmtId="0" fontId="7" fillId="10" borderId="8" xfId="0" applyFont="1" applyFill="1" applyBorder="1" applyAlignment="1">
      <alignment vertical="center" wrapText="1"/>
    </xf>
    <xf numFmtId="0" fontId="7" fillId="10" borderId="9" xfId="0" applyFont="1" applyFill="1" applyBorder="1" applyAlignment="1">
      <alignment horizontal="center"/>
    </xf>
    <xf numFmtId="2" fontId="7" fillId="23" borderId="9" xfId="0" applyNumberFormat="1" applyFont="1" applyFill="1" applyBorder="1" applyAlignment="1">
      <alignment horizontal="right" indent="1"/>
    </xf>
    <xf numFmtId="0" fontId="7" fillId="10" borderId="12" xfId="0" applyFont="1" applyFill="1" applyBorder="1" applyAlignment="1">
      <alignment vertical="center" wrapText="1"/>
    </xf>
    <xf numFmtId="0" fontId="7" fillId="10" borderId="12" xfId="0" applyFont="1" applyFill="1" applyBorder="1" applyAlignment="1">
      <alignment horizontal="center"/>
    </xf>
    <xf numFmtId="2" fontId="7" fillId="23" borderId="12" xfId="0" applyNumberFormat="1" applyFont="1" applyFill="1" applyBorder="1" applyAlignment="1">
      <alignment horizontal="right" indent="1"/>
    </xf>
    <xf numFmtId="0" fontId="3" fillId="23" borderId="6" xfId="0" applyFont="1" applyFill="1" applyBorder="1"/>
    <xf numFmtId="9" fontId="3" fillId="10" borderId="6" xfId="0" applyNumberFormat="1" applyFont="1" applyFill="1" applyBorder="1" applyAlignment="1">
      <alignment horizontal="center"/>
    </xf>
    <xf numFmtId="9" fontId="3" fillId="24" borderId="9" xfId="0" applyNumberFormat="1" applyFont="1" applyFill="1" applyBorder="1" applyAlignment="1">
      <alignment horizontal="center"/>
    </xf>
    <xf numFmtId="2" fontId="3" fillId="25" borderId="9" xfId="0" applyNumberFormat="1" applyFont="1" applyFill="1" applyBorder="1" applyAlignment="1">
      <alignment horizontal="right" indent="1"/>
    </xf>
    <xf numFmtId="0" fontId="3" fillId="25" borderId="9" xfId="0" applyFont="1" applyFill="1" applyBorder="1"/>
    <xf numFmtId="0" fontId="14" fillId="27" borderId="6" xfId="0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right" indent="1"/>
    </xf>
    <xf numFmtId="2" fontId="5" fillId="0" borderId="6" xfId="0" applyNumberFormat="1" applyFont="1" applyBorder="1" applyAlignment="1">
      <alignment horizontal="right" indent="1"/>
    </xf>
    <xf numFmtId="2" fontId="7" fillId="0" borderId="9" xfId="0" applyNumberFormat="1" applyFont="1" applyBorder="1" applyAlignment="1">
      <alignment horizontal="right" indent="1"/>
    </xf>
    <xf numFmtId="2" fontId="3" fillId="0" borderId="6" xfId="0" applyNumberFormat="1" applyFont="1" applyBorder="1" applyAlignment="1">
      <alignment horizontal="right" vertical="center" indent="1"/>
    </xf>
    <xf numFmtId="2" fontId="7" fillId="0" borderId="7" xfId="0" applyNumberFormat="1" applyFont="1" applyBorder="1" applyAlignment="1">
      <alignment horizontal="right" indent="1"/>
    </xf>
    <xf numFmtId="2" fontId="7" fillId="0" borderId="12" xfId="0" applyNumberFormat="1" applyFont="1" applyBorder="1" applyAlignment="1">
      <alignment horizontal="right" indent="1"/>
    </xf>
    <xf numFmtId="164" fontId="5" fillId="0" borderId="6" xfId="0" applyNumberFormat="1" applyFont="1" applyBorder="1" applyAlignment="1">
      <alignment horizontal="right" vertical="center" indent="1"/>
    </xf>
    <xf numFmtId="9" fontId="5" fillId="0" borderId="6" xfId="1" applyFont="1" applyBorder="1" applyAlignment="1">
      <alignment horizontal="right" indent="1"/>
    </xf>
    <xf numFmtId="2" fontId="3" fillId="0" borderId="7" xfId="0" applyNumberFormat="1" applyFont="1" applyBorder="1" applyAlignment="1">
      <alignment horizontal="right" indent="1"/>
    </xf>
    <xf numFmtId="0" fontId="5" fillId="8" borderId="7" xfId="0" applyFont="1" applyFill="1" applyBorder="1" applyAlignment="1">
      <alignment horizontal="left"/>
    </xf>
    <xf numFmtId="0" fontId="5" fillId="0" borderId="7" xfId="0" applyFont="1" applyBorder="1"/>
    <xf numFmtId="0" fontId="3" fillId="16" borderId="7" xfId="0" applyFont="1" applyFill="1" applyBorder="1" applyAlignment="1">
      <alignment horizontal="left"/>
    </xf>
    <xf numFmtId="0" fontId="5" fillId="11" borderId="7" xfId="0" applyFont="1" applyFill="1" applyBorder="1"/>
    <xf numFmtId="0" fontId="7" fillId="12" borderId="7" xfId="0" applyFont="1" applyFill="1" applyBorder="1"/>
    <xf numFmtId="0" fontId="3" fillId="17" borderId="7" xfId="0" applyFont="1" applyFill="1" applyBorder="1" applyAlignment="1">
      <alignment horizontal="left" vertical="center"/>
    </xf>
    <xf numFmtId="0" fontId="7" fillId="10" borderId="10" xfId="0" applyFont="1" applyFill="1" applyBorder="1" applyAlignment="1">
      <alignment horizontal="left"/>
    </xf>
    <xf numFmtId="0" fontId="7" fillId="10" borderId="13" xfId="0" applyFont="1" applyFill="1" applyBorder="1" applyAlignment="1">
      <alignment horizontal="left"/>
    </xf>
    <xf numFmtId="0" fontId="3" fillId="17" borderId="7" xfId="0" applyFont="1" applyFill="1" applyBorder="1"/>
    <xf numFmtId="0" fontId="3" fillId="0" borderId="7" xfId="0" applyFont="1" applyBorder="1"/>
    <xf numFmtId="0" fontId="3" fillId="7" borderId="7" xfId="0" applyFont="1" applyFill="1" applyBorder="1"/>
    <xf numFmtId="0" fontId="3" fillId="9" borderId="7" xfId="0" applyFont="1" applyFill="1" applyBorder="1"/>
    <xf numFmtId="0" fontId="3" fillId="10" borderId="7" xfId="0" applyFont="1" applyFill="1" applyBorder="1"/>
    <xf numFmtId="0" fontId="3" fillId="12" borderId="7" xfId="0" applyFont="1" applyFill="1" applyBorder="1"/>
    <xf numFmtId="0" fontId="5" fillId="13" borderId="7" xfId="0" applyFont="1" applyFill="1" applyBorder="1" applyAlignment="1">
      <alignment vertical="center"/>
    </xf>
    <xf numFmtId="0" fontId="5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5" fillId="19" borderId="7" xfId="0" applyFont="1" applyFill="1" applyBorder="1"/>
    <xf numFmtId="0" fontId="5" fillId="20" borderId="7" xfId="0" applyFont="1" applyFill="1" applyBorder="1"/>
    <xf numFmtId="0" fontId="5" fillId="21" borderId="10" xfId="0" applyFont="1" applyFill="1" applyBorder="1" applyAlignment="1">
      <alignment horizontal="left" vertical="center"/>
    </xf>
    <xf numFmtId="0" fontId="5" fillId="22" borderId="13" xfId="0" applyFont="1" applyFill="1" applyBorder="1"/>
    <xf numFmtId="0" fontId="7" fillId="28" borderId="8" xfId="0" applyFont="1" applyFill="1" applyBorder="1"/>
    <xf numFmtId="1" fontId="7" fillId="29" borderId="9" xfId="0" applyNumberFormat="1" applyFont="1" applyFill="1" applyBorder="1" applyAlignment="1">
      <alignment horizontal="center"/>
    </xf>
    <xf numFmtId="2" fontId="7" fillId="29" borderId="9" xfId="0" applyNumberFormat="1" applyFont="1" applyFill="1" applyBorder="1" applyAlignment="1">
      <alignment horizontal="right" indent="1"/>
    </xf>
    <xf numFmtId="0" fontId="7" fillId="29" borderId="10" xfId="0" applyFont="1" applyFill="1" applyBorder="1"/>
    <xf numFmtId="0" fontId="14" fillId="0" borderId="6" xfId="0" applyFont="1" applyBorder="1" applyAlignment="1">
      <alignment vertical="center"/>
    </xf>
    <xf numFmtId="2" fontId="14" fillId="0" borderId="6" xfId="0" applyNumberFormat="1" applyFont="1" applyBorder="1" applyAlignment="1">
      <alignment horizontal="right" indent="1"/>
    </xf>
    <xf numFmtId="1" fontId="3" fillId="27" borderId="6" xfId="0" applyNumberFormat="1" applyFont="1" applyFill="1" applyBorder="1" applyAlignment="1">
      <alignment horizontal="right" indent="1"/>
    </xf>
    <xf numFmtId="4" fontId="3" fillId="0" borderId="5" xfId="0" applyNumberFormat="1" applyFont="1" applyBorder="1" applyAlignment="1">
      <alignment horizontal="right" indent="1"/>
    </xf>
    <xf numFmtId="1" fontId="3" fillId="0" borderId="11" xfId="0" applyNumberFormat="1" applyFont="1" applyBorder="1" applyAlignment="1">
      <alignment horizontal="right" vertical="center" indent="1"/>
    </xf>
    <xf numFmtId="11" fontId="7" fillId="0" borderId="5" xfId="0" applyNumberFormat="1" applyFont="1" applyBorder="1" applyAlignment="1">
      <alignment horizontal="right" indent="1"/>
    </xf>
    <xf numFmtId="164" fontId="3" fillId="0" borderId="11" xfId="0" applyNumberFormat="1" applyFont="1" applyBorder="1" applyAlignment="1">
      <alignment horizontal="right" vertical="center" indent="1"/>
    </xf>
    <xf numFmtId="164" fontId="7" fillId="0" borderId="5" xfId="0" applyNumberFormat="1" applyFont="1" applyBorder="1" applyAlignment="1">
      <alignment horizontal="right" indent="1"/>
    </xf>
    <xf numFmtId="0" fontId="3" fillId="0" borderId="0" xfId="0" quotePrefix="1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/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21" borderId="8" xfId="0" applyFont="1" applyFill="1" applyBorder="1" applyAlignment="1">
      <alignment horizontal="left" vertical="center"/>
    </xf>
    <xf numFmtId="0" fontId="3" fillId="21" borderId="1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5" fillId="11" borderId="6" xfId="0" applyNumberFormat="1" applyFont="1" applyFill="1" applyBorder="1" applyAlignment="1">
      <alignment horizontal="right" indent="1"/>
    </xf>
    <xf numFmtId="3" fontId="5" fillId="11" borderId="6" xfId="0" applyNumberFormat="1" applyFont="1" applyFill="1" applyBorder="1" applyAlignment="1">
      <alignment horizontal="right" indent="1"/>
    </xf>
    <xf numFmtId="172" fontId="3" fillId="8" borderId="6" xfId="3" applyNumberFormat="1" applyFont="1" applyFill="1" applyBorder="1" applyAlignment="1">
      <alignment horizontal="right" indent="1"/>
    </xf>
  </cellXfs>
  <cellStyles count="4">
    <cellStyle name="Hipervínculo" xfId="2" builtinId="8"/>
    <cellStyle name="Millares" xfId="3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63</xdr:row>
      <xdr:rowOff>0</xdr:rowOff>
    </xdr:from>
    <xdr:to>
      <xdr:col>21</xdr:col>
      <xdr:colOff>28575</xdr:colOff>
      <xdr:row>63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8F649A-2EB8-493D-B171-3813482B0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41225" y="13782675"/>
          <a:ext cx="285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711200</xdr:colOff>
      <xdr:row>51</xdr:row>
      <xdr:rowOff>0</xdr:rowOff>
    </xdr:from>
    <xdr:to>
      <xdr:col>26</xdr:col>
      <xdr:colOff>101325</xdr:colOff>
      <xdr:row>69</xdr:row>
      <xdr:rowOff>12245</xdr:rowOff>
    </xdr:to>
    <xdr:pic>
      <xdr:nvPicPr>
        <xdr:cNvPr id="3" name="Imagen 10">
          <a:extLst>
            <a:ext uri="{FF2B5EF4-FFF2-40B4-BE49-F238E27FC236}">
              <a16:creationId xmlns:a16="http://schemas.microsoft.com/office/drawing/2014/main" id="{F997223E-A44E-4120-BC04-E51089273AB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6952575" y="11163300"/>
          <a:ext cx="2438125" cy="344124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20</xdr:col>
      <xdr:colOff>152401</xdr:colOff>
      <xdr:row>51</xdr:row>
      <xdr:rowOff>0</xdr:rowOff>
    </xdr:from>
    <xdr:to>
      <xdr:col>25</xdr:col>
      <xdr:colOff>25401</xdr:colOff>
      <xdr:row>74</xdr:row>
      <xdr:rowOff>79374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76269AF-C821-4F1D-81AB-E42369EDE5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1" r="2983" b="6727"/>
        <a:stretch/>
      </xdr:blipFill>
      <xdr:spPr bwMode="auto">
        <a:xfrm>
          <a:off x="24869776" y="11163300"/>
          <a:ext cx="3683000" cy="4460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0</xdr:colOff>
      <xdr:row>51</xdr:row>
      <xdr:rowOff>0</xdr:rowOff>
    </xdr:from>
    <xdr:to>
      <xdr:col>21</xdr:col>
      <xdr:colOff>28575</xdr:colOff>
      <xdr:row>51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7632492-6767-4D66-B26D-0DBE4EB41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79375" y="11163300"/>
          <a:ext cx="285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27</xdr:row>
      <xdr:rowOff>0</xdr:rowOff>
    </xdr:from>
    <xdr:to>
      <xdr:col>7</xdr:col>
      <xdr:colOff>304800</xdr:colOff>
      <xdr:row>28</xdr:row>
      <xdr:rowOff>133350</xdr:rowOff>
    </xdr:to>
    <xdr:sp macro="" textlink="">
      <xdr:nvSpPr>
        <xdr:cNvPr id="4" name="AutoShape 5" descr="{\displaystyle Q=0.2787\ C\ D_{i}^{2.63}\ S^{0.54}}">
          <a:extLst>
            <a:ext uri="{FF2B5EF4-FFF2-40B4-BE49-F238E27FC236}">
              <a16:creationId xmlns:a16="http://schemas.microsoft.com/office/drawing/2014/main" id="{A31E8C7D-5B54-4FF6-B857-26F3D4350FA7}"/>
            </a:ext>
          </a:extLst>
        </xdr:cNvPr>
        <xdr:cNvSpPr>
          <a:spLocks noChangeAspect="1" noChangeArrowheads="1"/>
        </xdr:cNvSpPr>
      </xdr:nvSpPr>
      <xdr:spPr bwMode="auto">
        <a:xfrm>
          <a:off x="7943850" y="5724525"/>
          <a:ext cx="304800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38</xdr:row>
      <xdr:rowOff>0</xdr:rowOff>
    </xdr:from>
    <xdr:ext cx="304800" cy="304800"/>
    <xdr:sp macro="" textlink="">
      <xdr:nvSpPr>
        <xdr:cNvPr id="5" name="AutoShape 5" descr="{\displaystyle Q=0.2787\ C\ D_{i}^{2.63}\ S^{0.54}}">
          <a:extLst>
            <a:ext uri="{FF2B5EF4-FFF2-40B4-BE49-F238E27FC236}">
              <a16:creationId xmlns:a16="http://schemas.microsoft.com/office/drawing/2014/main" id="{A249EB98-7640-41B6-801F-EF23AFC8BCD9}"/>
            </a:ext>
          </a:extLst>
        </xdr:cNvPr>
        <xdr:cNvSpPr>
          <a:spLocks noChangeAspect="1" noChangeArrowheads="1"/>
        </xdr:cNvSpPr>
      </xdr:nvSpPr>
      <xdr:spPr bwMode="auto">
        <a:xfrm>
          <a:off x="13763625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32</xdr:row>
      <xdr:rowOff>0</xdr:rowOff>
    </xdr:from>
    <xdr:to>
      <xdr:col>7</xdr:col>
      <xdr:colOff>304800</xdr:colOff>
      <xdr:row>33</xdr:row>
      <xdr:rowOff>133350</xdr:rowOff>
    </xdr:to>
    <xdr:sp macro="" textlink="">
      <xdr:nvSpPr>
        <xdr:cNvPr id="2" name="AutoShape 5" descr="{\displaystyle Q=0.2787\ C\ D_{i}^{2.63}\ S^{0.54}}">
          <a:extLst>
            <a:ext uri="{FF2B5EF4-FFF2-40B4-BE49-F238E27FC236}">
              <a16:creationId xmlns:a16="http://schemas.microsoft.com/office/drawing/2014/main" id="{48BE3BE9-C9A3-4978-BF28-4DEB30F0F7D1}"/>
            </a:ext>
          </a:extLst>
        </xdr:cNvPr>
        <xdr:cNvSpPr>
          <a:spLocks noChangeAspect="1" noChangeArrowheads="1"/>
        </xdr:cNvSpPr>
      </xdr:nvSpPr>
      <xdr:spPr bwMode="auto">
        <a:xfrm>
          <a:off x="9039225" y="6562725"/>
          <a:ext cx="304800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32</xdr:row>
      <xdr:rowOff>0</xdr:rowOff>
    </xdr:from>
    <xdr:ext cx="304800" cy="304800"/>
    <xdr:sp macro="" textlink="">
      <xdr:nvSpPr>
        <xdr:cNvPr id="3" name="AutoShape 5" descr="{\displaystyle Q=0.2787\ C\ D_{i}^{2.63}\ S^{0.54}}">
          <a:extLst>
            <a:ext uri="{FF2B5EF4-FFF2-40B4-BE49-F238E27FC236}">
              <a16:creationId xmlns:a16="http://schemas.microsoft.com/office/drawing/2014/main" id="{E08813FD-D2F1-4BF3-984A-11A6B8D562A8}"/>
            </a:ext>
          </a:extLst>
        </xdr:cNvPr>
        <xdr:cNvSpPr>
          <a:spLocks noChangeAspect="1" noChangeArrowheads="1"/>
        </xdr:cNvSpPr>
      </xdr:nvSpPr>
      <xdr:spPr bwMode="auto">
        <a:xfrm>
          <a:off x="14859000" y="6562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253999</xdr:rowOff>
    </xdr:from>
    <xdr:to>
      <xdr:col>16</xdr:col>
      <xdr:colOff>596900</xdr:colOff>
      <xdr:row>40</xdr:row>
      <xdr:rowOff>18754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693627-A9ED-4FEA-98C1-C48CD8C608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77" t="37374" r="14266" b="31999"/>
        <a:stretch/>
      </xdr:blipFill>
      <xdr:spPr bwMode="auto">
        <a:xfrm>
          <a:off x="0" y="253999"/>
          <a:ext cx="12788900" cy="74514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cuments\2%20Propuesta%20Tecnologias%20Tratamiento%20y%20Piscicultura\Actualizacion%202023\Contenidos%2023\Planta%20Pincta.xlsx" TargetMode="External"/><Relationship Id="rId1" Type="http://schemas.openxmlformats.org/officeDocument/2006/relationships/externalLinkPath" Target="Planta%20Pinct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cuments\2%20Propuesta%20Tecnologias%20Tratamiento%20y%20Piscicultura\Actualizacion%202023\Contenidos%2023\Planta%20Pincta%202.xlsx" TargetMode="External"/><Relationship Id="rId1" Type="http://schemas.openxmlformats.org/officeDocument/2006/relationships/externalLinkPath" Target="Planta%20Pinct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rrilla de Aireación "/>
      <sheetName val="Planta Pincta"/>
      <sheetName val="Nitrificación"/>
      <sheetName val="Agua-T(°C)"/>
      <sheetName val="Tuberias de Aireación"/>
      <sheetName val="Tubería de Succión"/>
      <sheetName val="Tubería de Soplador"/>
      <sheetName val="Diagrama de Moody"/>
      <sheetName val="Escalera"/>
    </sheetNames>
    <sheetDataSet>
      <sheetData sheetId="0">
        <row r="38">
          <cell r="E38">
            <v>9.0753845259310992</v>
          </cell>
          <cell r="G38">
            <v>9.0753845259310992</v>
          </cell>
        </row>
      </sheetData>
      <sheetData sheetId="1">
        <row r="27">
          <cell r="E27">
            <v>14.066874148941503</v>
          </cell>
          <cell r="G27">
            <v>14.066874148941503</v>
          </cell>
        </row>
        <row r="30">
          <cell r="E30">
            <v>3</v>
          </cell>
          <cell r="G30">
            <v>3</v>
          </cell>
        </row>
        <row r="37">
          <cell r="E37">
            <v>88.401244893649022</v>
          </cell>
          <cell r="G37">
            <v>88.401244893649022</v>
          </cell>
        </row>
      </sheetData>
      <sheetData sheetId="2" refreshError="1"/>
      <sheetData sheetId="3">
        <row r="6">
          <cell r="B6">
            <v>0</v>
          </cell>
          <cell r="C6">
            <v>999.82</v>
          </cell>
          <cell r="D6">
            <v>1.792E-3</v>
          </cell>
          <cell r="E6">
            <v>1.7923226180712527E-6</v>
          </cell>
          <cell r="F6">
            <v>0.61099999999999999</v>
          </cell>
          <cell r="G6">
            <v>14.6</v>
          </cell>
          <cell r="H6">
            <v>14.11</v>
          </cell>
          <cell r="I6">
            <v>13.64</v>
          </cell>
        </row>
        <row r="7">
          <cell r="B7">
            <v>1</v>
          </cell>
          <cell r="C7">
            <v>999.89</v>
          </cell>
          <cell r="D7">
            <v>1.7309999999999999E-3</v>
          </cell>
          <cell r="E7">
            <v>1.7311904309474041E-6</v>
          </cell>
          <cell r="F7">
            <v>0.65700000000000003</v>
          </cell>
          <cell r="G7">
            <v>14.2</v>
          </cell>
          <cell r="H7">
            <v>13.73</v>
          </cell>
          <cell r="I7">
            <v>13.27</v>
          </cell>
        </row>
        <row r="8">
          <cell r="B8">
            <v>2</v>
          </cell>
          <cell r="C8">
            <v>999.94</v>
          </cell>
          <cell r="D8">
            <v>1.6739999999999999E-3</v>
          </cell>
          <cell r="E8">
            <v>1.6741004460267615E-6</v>
          </cell>
          <cell r="F8">
            <v>0.70499999999999996</v>
          </cell>
          <cell r="G8">
            <v>13.81</v>
          </cell>
          <cell r="H8">
            <v>13.36</v>
          </cell>
          <cell r="I8">
            <v>12.91</v>
          </cell>
        </row>
        <row r="9">
          <cell r="B9">
            <v>3</v>
          </cell>
          <cell r="C9">
            <v>999.98</v>
          </cell>
          <cell r="D9">
            <v>1.6199999999999999E-3</v>
          </cell>
          <cell r="E9">
            <v>1.6200324006480128E-6</v>
          </cell>
          <cell r="F9">
            <v>0.75700000000000001</v>
          </cell>
          <cell r="G9">
            <v>13.45</v>
          </cell>
          <cell r="H9">
            <v>13</v>
          </cell>
          <cell r="I9">
            <v>12.58</v>
          </cell>
        </row>
        <row r="10">
          <cell r="B10">
            <v>4</v>
          </cell>
          <cell r="C10">
            <v>1000</v>
          </cell>
          <cell r="D10">
            <v>1.5690000000000001E-3</v>
          </cell>
          <cell r="E10">
            <v>1.5690000000000001E-6</v>
          </cell>
          <cell r="F10">
            <v>0.81299999999999994</v>
          </cell>
          <cell r="G10">
            <v>13.09</v>
          </cell>
          <cell r="H10">
            <v>12.67</v>
          </cell>
          <cell r="I10">
            <v>12.25</v>
          </cell>
        </row>
        <row r="11">
          <cell r="B11">
            <v>5</v>
          </cell>
          <cell r="C11">
            <v>1000</v>
          </cell>
          <cell r="D11">
            <v>1.5200000000000001E-3</v>
          </cell>
          <cell r="E11">
            <v>1.5200000000000001E-6</v>
          </cell>
          <cell r="F11">
            <v>0.872</v>
          </cell>
          <cell r="G11">
            <v>12.76</v>
          </cell>
          <cell r="H11">
            <v>12.34</v>
          </cell>
          <cell r="I11">
            <v>11.94</v>
          </cell>
        </row>
        <row r="12">
          <cell r="B12">
            <v>6</v>
          </cell>
          <cell r="C12">
            <v>999.99</v>
          </cell>
          <cell r="D12">
            <v>1.4729999999999999E-3</v>
          </cell>
          <cell r="E12">
            <v>1.4730147301473013E-6</v>
          </cell>
          <cell r="F12">
            <v>0.93500000000000005</v>
          </cell>
          <cell r="G12">
            <v>12.44</v>
          </cell>
          <cell r="H12">
            <v>12.04</v>
          </cell>
          <cell r="I12">
            <v>11.65</v>
          </cell>
        </row>
        <row r="13">
          <cell r="B13">
            <v>7</v>
          </cell>
          <cell r="C13">
            <v>999.96</v>
          </cell>
          <cell r="D13">
            <v>1.4289999999999999E-3</v>
          </cell>
          <cell r="E13">
            <v>1.4290571622864914E-6</v>
          </cell>
          <cell r="F13">
            <v>1.0009999999999999</v>
          </cell>
          <cell r="G13">
            <v>12.13</v>
          </cell>
          <cell r="H13">
            <v>11.74</v>
          </cell>
          <cell r="I13">
            <v>11.37</v>
          </cell>
        </row>
        <row r="14">
          <cell r="B14">
            <v>8</v>
          </cell>
          <cell r="C14">
            <v>999.91</v>
          </cell>
          <cell r="D14">
            <v>1.3860000000000001E-3</v>
          </cell>
          <cell r="E14">
            <v>1.3861247512276105E-6</v>
          </cell>
          <cell r="F14">
            <v>1.0720000000000001</v>
          </cell>
          <cell r="G14">
            <v>11.83</v>
          </cell>
          <cell r="H14">
            <v>11.46</v>
          </cell>
          <cell r="I14">
            <v>11.09</v>
          </cell>
        </row>
        <row r="15">
          <cell r="B15">
            <v>9</v>
          </cell>
          <cell r="C15">
            <v>999.85</v>
          </cell>
          <cell r="D15">
            <v>1.346E-3</v>
          </cell>
          <cell r="E15">
            <v>1.3462019302895433E-6</v>
          </cell>
          <cell r="F15">
            <v>1.147</v>
          </cell>
          <cell r="G15">
            <v>11.55</v>
          </cell>
          <cell r="H15">
            <v>11.19</v>
          </cell>
          <cell r="I15">
            <v>10.83</v>
          </cell>
        </row>
        <row r="16">
          <cell r="B16">
            <v>10</v>
          </cell>
          <cell r="C16">
            <v>999.77</v>
          </cell>
          <cell r="D16">
            <v>1.3079999999999999E-3</v>
          </cell>
          <cell r="E16">
            <v>1.3083009092091181E-6</v>
          </cell>
          <cell r="F16">
            <v>1.2270000000000001</v>
          </cell>
          <cell r="G16">
            <v>11.28</v>
          </cell>
          <cell r="H16">
            <v>10.92</v>
          </cell>
          <cell r="I16">
            <v>10.58</v>
          </cell>
        </row>
        <row r="17">
          <cell r="B17">
            <v>11</v>
          </cell>
          <cell r="C17">
            <v>999.68</v>
          </cell>
          <cell r="D17">
            <v>1.271E-3</v>
          </cell>
          <cell r="E17">
            <v>1.2714068501920614E-6</v>
          </cell>
          <cell r="F17">
            <v>1.3120000000000001</v>
          </cell>
          <cell r="G17">
            <v>11.02</v>
          </cell>
          <cell r="H17">
            <v>10.67</v>
          </cell>
          <cell r="I17">
            <v>10.34</v>
          </cell>
        </row>
        <row r="18">
          <cell r="B18">
            <v>12</v>
          </cell>
          <cell r="C18">
            <v>999.58</v>
          </cell>
          <cell r="D18">
            <v>1.2359999999999999E-3</v>
          </cell>
          <cell r="E18">
            <v>1.2365193381220111E-6</v>
          </cell>
          <cell r="F18">
            <v>1.4019999999999999</v>
          </cell>
          <cell r="G18">
            <v>10.77</v>
          </cell>
          <cell r="H18">
            <v>10.43</v>
          </cell>
          <cell r="I18">
            <v>10.11</v>
          </cell>
        </row>
        <row r="19">
          <cell r="B19">
            <v>13</v>
          </cell>
          <cell r="C19">
            <v>999.46</v>
          </cell>
          <cell r="D19">
            <v>1.2019999999999999E-3</v>
          </cell>
          <cell r="E19">
            <v>1.2026494306925738E-6</v>
          </cell>
          <cell r="F19">
            <v>1.4970000000000001</v>
          </cell>
          <cell r="G19">
            <v>10.53</v>
          </cell>
          <cell r="H19">
            <v>10.199999999999999</v>
          </cell>
          <cell r="I19">
            <v>9.89</v>
          </cell>
        </row>
        <row r="20">
          <cell r="B20">
            <v>14</v>
          </cell>
          <cell r="C20">
            <v>999.33</v>
          </cell>
          <cell r="D20">
            <v>1.17E-3</v>
          </cell>
          <cell r="E20">
            <v>1.1707844255651285E-6</v>
          </cell>
          <cell r="F20">
            <v>1.597</v>
          </cell>
          <cell r="G20">
            <v>10.29</v>
          </cell>
          <cell r="H20">
            <v>9.98</v>
          </cell>
          <cell r="I20">
            <v>9.68</v>
          </cell>
        </row>
        <row r="21">
          <cell r="B21">
            <v>15</v>
          </cell>
          <cell r="C21">
            <v>999.19</v>
          </cell>
          <cell r="D21">
            <v>1.139E-3</v>
          </cell>
          <cell r="E21">
            <v>1.1399233379037019E-6</v>
          </cell>
          <cell r="F21">
            <v>1.704</v>
          </cell>
          <cell r="G21">
            <v>10.07</v>
          </cell>
          <cell r="H21">
            <v>9.77</v>
          </cell>
          <cell r="I21">
            <v>9.4700000000000006</v>
          </cell>
        </row>
        <row r="22">
          <cell r="B22">
            <v>16</v>
          </cell>
          <cell r="C22">
            <v>999.03</v>
          </cell>
          <cell r="D22">
            <v>1.109E-3</v>
          </cell>
          <cell r="E22">
            <v>1.110076774471237E-6</v>
          </cell>
          <cell r="F22">
            <v>1.8169999999999999</v>
          </cell>
          <cell r="G22">
            <v>9.86</v>
          </cell>
          <cell r="H22">
            <v>9.56</v>
          </cell>
          <cell r="I22">
            <v>9.2799999999999994</v>
          </cell>
        </row>
        <row r="23">
          <cell r="B23">
            <v>17</v>
          </cell>
          <cell r="C23">
            <v>998.86</v>
          </cell>
          <cell r="D23">
            <v>1.0809999999999999E-3</v>
          </cell>
          <cell r="E23">
            <v>1.0822337464709768E-6</v>
          </cell>
          <cell r="F23">
            <v>1.9359999999999999</v>
          </cell>
          <cell r="G23">
            <v>9.65</v>
          </cell>
          <cell r="H23">
            <v>9.36</v>
          </cell>
          <cell r="I23">
            <v>9.09</v>
          </cell>
        </row>
        <row r="24">
          <cell r="B24">
            <v>18</v>
          </cell>
          <cell r="C24">
            <v>998.68</v>
          </cell>
          <cell r="D24">
            <v>1.054E-3</v>
          </cell>
          <cell r="E24">
            <v>1.0553931189169705E-6</v>
          </cell>
          <cell r="F24">
            <v>2.0630000000000002</v>
          </cell>
          <cell r="G24">
            <v>9.4499999999999993</v>
          </cell>
          <cell r="H24">
            <v>9.17</v>
          </cell>
          <cell r="I24">
            <v>8.9</v>
          </cell>
        </row>
        <row r="25">
          <cell r="B25">
            <v>19</v>
          </cell>
          <cell r="C25">
            <v>998.49</v>
          </cell>
          <cell r="D25">
            <v>1.0280000000000001E-3</v>
          </cell>
          <cell r="E25">
            <v>1.0295546274875061E-6</v>
          </cell>
          <cell r="F25">
            <v>2.1960000000000002</v>
          </cell>
          <cell r="G25">
            <v>9.26</v>
          </cell>
          <cell r="H25">
            <v>8.99</v>
          </cell>
          <cell r="I25">
            <v>8.73</v>
          </cell>
        </row>
        <row r="26">
          <cell r="B26">
            <v>20</v>
          </cell>
          <cell r="C26">
            <v>998.29</v>
          </cell>
          <cell r="D26">
            <v>1.003E-3</v>
          </cell>
          <cell r="E26">
            <v>1.0047180678961023E-6</v>
          </cell>
          <cell r="F26">
            <v>2.3370000000000002</v>
          </cell>
          <cell r="G26">
            <v>9.08</v>
          </cell>
          <cell r="H26">
            <v>8.81</v>
          </cell>
          <cell r="I26">
            <v>8.56</v>
          </cell>
        </row>
        <row r="27">
          <cell r="B27">
            <v>21</v>
          </cell>
          <cell r="C27">
            <v>998.08</v>
          </cell>
          <cell r="D27">
            <v>9.7900000000000005E-4</v>
          </cell>
          <cell r="E27">
            <v>9.8088329592818217E-7</v>
          </cell>
          <cell r="F27">
            <v>2.4860000000000002</v>
          </cell>
          <cell r="G27">
            <v>8.9</v>
          </cell>
          <cell r="H27">
            <v>8.64</v>
          </cell>
          <cell r="I27">
            <v>8.39</v>
          </cell>
        </row>
        <row r="28">
          <cell r="B28">
            <v>22</v>
          </cell>
          <cell r="C28">
            <v>997.86</v>
          </cell>
          <cell r="D28">
            <v>9.5500000000000001E-4</v>
          </cell>
          <cell r="E28">
            <v>9.5704808289740053E-7</v>
          </cell>
          <cell r="F28">
            <v>2.6419999999999999</v>
          </cell>
          <cell r="G28">
            <v>8.73</v>
          </cell>
          <cell r="H28">
            <v>8.48</v>
          </cell>
          <cell r="I28">
            <v>8.23</v>
          </cell>
        </row>
        <row r="29">
          <cell r="B29">
            <v>23</v>
          </cell>
          <cell r="C29">
            <v>997.62</v>
          </cell>
          <cell r="D29">
            <v>9.3300000000000002E-4</v>
          </cell>
          <cell r="E29">
            <v>9.3522583749323393E-7</v>
          </cell>
          <cell r="F29">
            <v>2.8079999999999998</v>
          </cell>
          <cell r="G29">
            <v>8.56</v>
          </cell>
          <cell r="H29">
            <v>8.32</v>
          </cell>
          <cell r="I29">
            <v>8.08</v>
          </cell>
        </row>
        <row r="30">
          <cell r="B30">
            <v>24</v>
          </cell>
          <cell r="C30">
            <v>997.38</v>
          </cell>
          <cell r="D30">
            <v>9.1100000000000003E-4</v>
          </cell>
          <cell r="E30">
            <v>9.1339308989552636E-7</v>
          </cell>
          <cell r="F30">
            <v>2.9820000000000002</v>
          </cell>
          <cell r="G30">
            <v>8.4</v>
          </cell>
          <cell r="H30">
            <v>8.16</v>
          </cell>
          <cell r="I30">
            <v>7.93</v>
          </cell>
        </row>
        <row r="31">
          <cell r="B31">
            <v>25</v>
          </cell>
          <cell r="C31">
            <v>997.13</v>
          </cell>
          <cell r="D31">
            <v>8.9099999999999997E-4</v>
          </cell>
          <cell r="E31">
            <v>8.9356453020167885E-7</v>
          </cell>
          <cell r="F31">
            <v>3.1659999999999999</v>
          </cell>
          <cell r="G31">
            <v>8.24</v>
          </cell>
          <cell r="H31">
            <v>8.01</v>
          </cell>
          <cell r="I31">
            <v>7.79</v>
          </cell>
        </row>
        <row r="32">
          <cell r="B32">
            <v>26</v>
          </cell>
          <cell r="C32">
            <v>996.86</v>
          </cell>
          <cell r="D32">
            <v>8.7100000000000003E-4</v>
          </cell>
          <cell r="E32">
            <v>8.7374355476195253E-7</v>
          </cell>
          <cell r="F32">
            <v>3.36</v>
          </cell>
          <cell r="G32">
            <v>8.09</v>
          </cell>
          <cell r="H32">
            <v>7.87</v>
          </cell>
          <cell r="I32">
            <v>7.65</v>
          </cell>
        </row>
        <row r="33">
          <cell r="B33">
            <v>27</v>
          </cell>
          <cell r="C33">
            <v>996.59</v>
          </cell>
          <cell r="D33">
            <v>8.52E-4</v>
          </cell>
          <cell r="E33">
            <v>8.5491526104014687E-7</v>
          </cell>
          <cell r="F33">
            <v>3.5640000000000001</v>
          </cell>
          <cell r="G33">
            <v>7.95</v>
          </cell>
          <cell r="H33">
            <v>7.73</v>
          </cell>
          <cell r="I33">
            <v>7.51</v>
          </cell>
        </row>
        <row r="34">
          <cell r="B34">
            <v>28</v>
          </cell>
          <cell r="C34">
            <v>996.31</v>
          </cell>
          <cell r="D34">
            <v>8.3299999999999997E-4</v>
          </cell>
          <cell r="E34">
            <v>8.3608515421906841E-7</v>
          </cell>
          <cell r="F34">
            <v>3.7789999999999999</v>
          </cell>
          <cell r="G34">
            <v>7.81</v>
          </cell>
          <cell r="H34">
            <v>7.59</v>
          </cell>
          <cell r="I34">
            <v>7.38</v>
          </cell>
        </row>
        <row r="35">
          <cell r="B35">
            <v>29</v>
          </cell>
          <cell r="C35">
            <v>996.02</v>
          </cell>
          <cell r="D35">
            <v>8.1499999999999997E-4</v>
          </cell>
          <cell r="E35">
            <v>8.1825666151282104E-7</v>
          </cell>
          <cell r="F35">
            <v>4.0039999999999996</v>
          </cell>
          <cell r="G35">
            <v>7.67</v>
          </cell>
          <cell r="H35">
            <v>7.46</v>
          </cell>
          <cell r="I35">
            <v>7.26</v>
          </cell>
        </row>
        <row r="36">
          <cell r="B36">
            <v>30</v>
          </cell>
          <cell r="C36">
            <v>995.71</v>
          </cell>
          <cell r="D36">
            <v>7.9799999999999999E-4</v>
          </cell>
          <cell r="E36">
            <v>8.0143816974821981E-7</v>
          </cell>
          <cell r="F36">
            <v>4.242</v>
          </cell>
          <cell r="G36">
            <v>7.54</v>
          </cell>
          <cell r="H36">
            <v>7.33</v>
          </cell>
          <cell r="I36">
            <v>7.14</v>
          </cell>
        </row>
        <row r="37">
          <cell r="B37">
            <v>31</v>
          </cell>
          <cell r="C37">
            <v>995.41</v>
          </cell>
          <cell r="D37">
            <v>7.8100000000000001E-4</v>
          </cell>
          <cell r="E37">
            <v>7.8460132005907112E-7</v>
          </cell>
          <cell r="F37">
            <v>4.4909999999999997</v>
          </cell>
          <cell r="G37">
            <v>7.41</v>
          </cell>
          <cell r="H37">
            <v>7.21</v>
          </cell>
          <cell r="I37">
            <v>7.02</v>
          </cell>
        </row>
        <row r="38">
          <cell r="B38">
            <v>32</v>
          </cell>
          <cell r="C38">
            <v>995.09</v>
          </cell>
          <cell r="D38">
            <v>7.6499999999999995E-4</v>
          </cell>
          <cell r="E38">
            <v>7.6877468369695196E-7</v>
          </cell>
          <cell r="F38">
            <v>4.7539999999999996</v>
          </cell>
          <cell r="G38">
            <v>7.29</v>
          </cell>
          <cell r="H38">
            <v>7.09</v>
          </cell>
          <cell r="I38">
            <v>6.9</v>
          </cell>
        </row>
        <row r="39">
          <cell r="B39">
            <v>33</v>
          </cell>
          <cell r="C39">
            <v>994.76</v>
          </cell>
          <cell r="D39">
            <v>7.4899999999999999E-4</v>
          </cell>
          <cell r="E39">
            <v>7.5294543407455063E-7</v>
          </cell>
          <cell r="F39">
            <v>5.0289999999999999</v>
          </cell>
          <cell r="G39">
            <v>7.17</v>
          </cell>
          <cell r="H39">
            <v>6.98</v>
          </cell>
          <cell r="I39">
            <v>6.79</v>
          </cell>
        </row>
        <row r="40">
          <cell r="B40">
            <v>34</v>
          </cell>
          <cell r="C40">
            <v>994.43</v>
          </cell>
          <cell r="D40">
            <v>7.3399999999999995E-4</v>
          </cell>
          <cell r="E40">
            <v>7.3811127982864557E-7</v>
          </cell>
          <cell r="F40">
            <v>5.3179999999999996</v>
          </cell>
          <cell r="G40">
            <v>7.05</v>
          </cell>
          <cell r="H40">
            <v>6.86</v>
          </cell>
          <cell r="I40">
            <v>6.68</v>
          </cell>
        </row>
        <row r="41">
          <cell r="B41">
            <v>35</v>
          </cell>
          <cell r="C41">
            <v>994.08</v>
          </cell>
          <cell r="D41">
            <v>7.2000000000000005E-4</v>
          </cell>
          <cell r="E41">
            <v>7.2428778367938198E-7</v>
          </cell>
          <cell r="F41">
            <v>5.6219999999999999</v>
          </cell>
          <cell r="G41">
            <v>6.93</v>
          </cell>
          <cell r="H41">
            <v>6.75</v>
          </cell>
          <cell r="I41">
            <v>6.58</v>
          </cell>
        </row>
        <row r="42">
          <cell r="B42">
            <v>36</v>
          </cell>
          <cell r="C42">
            <v>993.73</v>
          </cell>
          <cell r="D42">
            <v>7.0500000000000001E-4</v>
          </cell>
          <cell r="E42">
            <v>7.0944824046773266E-7</v>
          </cell>
          <cell r="F42">
            <v>5.94</v>
          </cell>
          <cell r="G42">
            <v>6.82</v>
          </cell>
          <cell r="H42">
            <v>6.65</v>
          </cell>
          <cell r="I42">
            <v>6.47</v>
          </cell>
        </row>
        <row r="43">
          <cell r="B43">
            <v>37</v>
          </cell>
          <cell r="C43">
            <v>993.37</v>
          </cell>
          <cell r="D43">
            <v>6.9200000000000002E-4</v>
          </cell>
          <cell r="E43">
            <v>6.9661858119331165E-7</v>
          </cell>
          <cell r="F43">
            <v>6.274</v>
          </cell>
          <cell r="G43">
            <v>6.72</v>
          </cell>
          <cell r="H43">
            <v>6.54</v>
          </cell>
          <cell r="I43">
            <v>6.37</v>
          </cell>
        </row>
        <row r="44">
          <cell r="B44">
            <v>38</v>
          </cell>
          <cell r="C44">
            <v>993</v>
          </cell>
          <cell r="D44">
            <v>6.78E-4</v>
          </cell>
          <cell r="E44">
            <v>6.8277945619335344E-7</v>
          </cell>
          <cell r="F44">
            <v>6.6239999999999997</v>
          </cell>
          <cell r="G44">
            <v>6.61</v>
          </cell>
          <cell r="H44">
            <v>6.44</v>
          </cell>
          <cell r="I44">
            <v>6.28</v>
          </cell>
        </row>
        <row r="45">
          <cell r="B45">
            <v>39</v>
          </cell>
          <cell r="C45">
            <v>992.63</v>
          </cell>
          <cell r="D45">
            <v>6.6600000000000003E-4</v>
          </cell>
          <cell r="E45">
            <v>6.709448636450642E-7</v>
          </cell>
          <cell r="F45">
            <v>6.9909999999999997</v>
          </cell>
          <cell r="G45">
            <v>6.51</v>
          </cell>
          <cell r="H45">
            <v>6.34</v>
          </cell>
          <cell r="I45">
            <v>6.18</v>
          </cell>
        </row>
        <row r="46">
          <cell r="B46">
            <v>40</v>
          </cell>
          <cell r="C46">
            <v>992.25</v>
          </cell>
          <cell r="D46">
            <v>6.5300000000000004E-4</v>
          </cell>
          <cell r="E46">
            <v>6.5810027714789624E-7</v>
          </cell>
          <cell r="F46">
            <v>7.375</v>
          </cell>
          <cell r="G46">
            <v>6.41</v>
          </cell>
          <cell r="H46">
            <v>6.25</v>
          </cell>
          <cell r="I46">
            <v>6.09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rrilla de Aireación "/>
      <sheetName val="Planta Pincta"/>
      <sheetName val="Nitrificación"/>
      <sheetName val="Agua-T(°C)"/>
      <sheetName val="Tuberias de Aireación"/>
      <sheetName val="Tubería de Succión"/>
      <sheetName val="Tubería de Aireación"/>
      <sheetName val="Diagrama de Moody"/>
      <sheetName val="Escalera"/>
      <sheetName val="Tuberia de Soplador"/>
    </sheetNames>
    <sheetDataSet>
      <sheetData sheetId="0">
        <row r="18">
          <cell r="E18">
            <v>25</v>
          </cell>
          <cell r="G18">
            <v>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hermexcel.com/english/tables/eau_atm.ht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FF047-BAD4-4185-AA0F-2524B20CE793}">
  <dimension ref="A1:AMK127"/>
  <sheetViews>
    <sheetView showGridLines="0" tabSelected="1" topLeftCell="C12" zoomScale="75" zoomScaleNormal="75" workbookViewId="0">
      <selection activeCell="J18" sqref="J18"/>
    </sheetView>
  </sheetViews>
  <sheetFormatPr baseColWidth="10" defaultColWidth="9.140625" defaultRowHeight="15" x14ac:dyDescent="0.25"/>
  <cols>
    <col min="1" max="1" width="22.140625" customWidth="1"/>
    <col min="2" max="2" width="49.140625" style="18" customWidth="1"/>
    <col min="3" max="3" width="59" style="4" customWidth="1"/>
    <col min="4" max="4" width="11" style="20" customWidth="1"/>
    <col min="5" max="5" width="10.140625" style="4" customWidth="1"/>
    <col min="6" max="6" width="21.7109375" style="4" customWidth="1"/>
    <col min="7" max="7" width="17" style="40" customWidth="1"/>
    <col min="8" max="8" width="15" style="4" customWidth="1"/>
    <col min="9" max="9" width="12.7109375" style="4" customWidth="1"/>
    <col min="10" max="10" width="38.5703125" style="4" customWidth="1"/>
    <col min="11" max="11" width="21.5703125" style="4" customWidth="1"/>
    <col min="12" max="12" width="18.28515625" style="4" customWidth="1"/>
    <col min="13" max="13" width="15.5703125" style="4" customWidth="1"/>
    <col min="14" max="1025" width="11.42578125" style="4" customWidth="1"/>
  </cols>
  <sheetData>
    <row r="1" spans="1:10" ht="15.75" x14ac:dyDescent="0.25">
      <c r="B1" s="1"/>
      <c r="C1" s="2" t="s">
        <v>0</v>
      </c>
      <c r="D1" s="3"/>
      <c r="F1" s="3"/>
      <c r="G1" s="84"/>
    </row>
    <row r="2" spans="1:10" x14ac:dyDescent="0.25">
      <c r="B2" s="1"/>
      <c r="C2" s="10" t="s">
        <v>95</v>
      </c>
      <c r="D2" s="3"/>
      <c r="F2" s="3"/>
      <c r="G2" s="84"/>
    </row>
    <row r="3" spans="1:10" x14ac:dyDescent="0.25">
      <c r="B3" s="1"/>
      <c r="C3" s="5" t="s">
        <v>1</v>
      </c>
      <c r="D3" s="6"/>
      <c r="F3" s="3"/>
      <c r="G3" s="84"/>
    </row>
    <row r="4" spans="1:10" x14ac:dyDescent="0.25">
      <c r="B4" s="1"/>
      <c r="C4" s="7" t="s">
        <v>2</v>
      </c>
      <c r="D4" s="6"/>
      <c r="F4" s="3"/>
      <c r="G4" s="84"/>
    </row>
    <row r="5" spans="1:10" x14ac:dyDescent="0.25">
      <c r="B5" s="1"/>
      <c r="C5" s="8" t="s">
        <v>96</v>
      </c>
      <c r="D5" s="4"/>
      <c r="G5" s="84"/>
    </row>
    <row r="6" spans="1:10" x14ac:dyDescent="0.25">
      <c r="B6" s="1"/>
      <c r="C6" s="9" t="s">
        <v>97</v>
      </c>
      <c r="D6" s="10"/>
      <c r="F6" s="3"/>
      <c r="G6" s="84"/>
    </row>
    <row r="7" spans="1:10" x14ac:dyDescent="0.25">
      <c r="B7" s="1"/>
      <c r="C7" s="11" t="s">
        <v>98</v>
      </c>
      <c r="D7" s="12"/>
      <c r="F7" s="3"/>
      <c r="G7" s="84"/>
    </row>
    <row r="8" spans="1:10" x14ac:dyDescent="0.25">
      <c r="B8" s="1"/>
      <c r="C8" s="13" t="s">
        <v>3</v>
      </c>
      <c r="D8" s="6"/>
      <c r="F8" s="3"/>
      <c r="G8" s="84"/>
    </row>
    <row r="9" spans="1:10" x14ac:dyDescent="0.25">
      <c r="B9" s="1"/>
      <c r="C9" s="14" t="s">
        <v>4</v>
      </c>
      <c r="D9" s="6"/>
      <c r="E9" s="6"/>
      <c r="F9" s="6"/>
      <c r="G9" s="84"/>
      <c r="H9" s="6"/>
    </row>
    <row r="10" spans="1:10" x14ac:dyDescent="0.25">
      <c r="B10" s="1"/>
      <c r="C10" s="87" t="s">
        <v>99</v>
      </c>
      <c r="D10" s="4"/>
      <c r="F10" s="3"/>
      <c r="G10" s="84"/>
      <c r="H10" s="6"/>
    </row>
    <row r="11" spans="1:10" ht="31.5" customHeight="1" x14ac:dyDescent="0.25">
      <c r="A11" s="15" t="s">
        <v>165</v>
      </c>
      <c r="B11" s="213" t="s">
        <v>5</v>
      </c>
      <c r="C11" s="28"/>
      <c r="D11" s="64"/>
      <c r="E11" s="64"/>
      <c r="F11" s="212"/>
      <c r="G11" s="15" t="s">
        <v>6</v>
      </c>
      <c r="H11" s="16" t="s">
        <v>7</v>
      </c>
    </row>
    <row r="12" spans="1:10" ht="21.75" customHeight="1" x14ac:dyDescent="0.25">
      <c r="A12" s="65"/>
      <c r="B12" s="85"/>
      <c r="C12" s="393" t="s">
        <v>189</v>
      </c>
      <c r="D12" s="393"/>
      <c r="E12" s="393"/>
      <c r="F12" s="393"/>
      <c r="G12" s="86"/>
      <c r="H12" s="87"/>
    </row>
    <row r="13" spans="1:10" ht="15" customHeight="1" x14ac:dyDescent="0.25">
      <c r="A13" s="65"/>
      <c r="B13" s="214"/>
      <c r="C13" s="88" t="s">
        <v>100</v>
      </c>
      <c r="D13" s="89"/>
      <c r="E13" s="66"/>
      <c r="F13" s="66"/>
      <c r="G13" s="90"/>
      <c r="H13" s="91"/>
      <c r="I13" s="85"/>
      <c r="J13" s="6"/>
    </row>
    <row r="14" spans="1:10" ht="15" customHeight="1" x14ac:dyDescent="0.25">
      <c r="A14" s="65"/>
      <c r="B14" s="216"/>
      <c r="C14" s="94" t="s">
        <v>102</v>
      </c>
      <c r="D14" s="22" t="s">
        <v>20</v>
      </c>
      <c r="E14" s="23">
        <v>4</v>
      </c>
      <c r="F14" s="352" t="s">
        <v>21</v>
      </c>
      <c r="G14" s="24">
        <v>4</v>
      </c>
      <c r="H14" s="93">
        <f>G14-E14</f>
        <v>0</v>
      </c>
      <c r="I14" s="85"/>
      <c r="J14" s="6"/>
    </row>
    <row r="15" spans="1:10" ht="15" customHeight="1" x14ac:dyDescent="0.25">
      <c r="A15" s="65"/>
      <c r="B15" s="216" t="s">
        <v>8</v>
      </c>
      <c r="C15" s="94" t="s">
        <v>128</v>
      </c>
      <c r="D15" s="22"/>
      <c r="E15" s="23">
        <v>3</v>
      </c>
      <c r="F15" s="352" t="s">
        <v>50</v>
      </c>
      <c r="G15" s="24">
        <v>3</v>
      </c>
      <c r="H15" s="93">
        <f>G15-E15</f>
        <v>0</v>
      </c>
      <c r="I15" s="85"/>
      <c r="J15" s="6"/>
    </row>
    <row r="16" spans="1:10" ht="15" customHeight="1" x14ac:dyDescent="0.25">
      <c r="A16" s="65"/>
      <c r="B16" s="216" t="s">
        <v>8</v>
      </c>
      <c r="C16" s="94" t="s">
        <v>109</v>
      </c>
      <c r="D16" s="22" t="s">
        <v>9</v>
      </c>
      <c r="E16" s="23">
        <v>8</v>
      </c>
      <c r="F16" s="352" t="s">
        <v>10</v>
      </c>
      <c r="G16" s="24">
        <v>8</v>
      </c>
      <c r="H16" s="93">
        <f>G16-E16</f>
        <v>0</v>
      </c>
      <c r="I16" s="85"/>
      <c r="J16" s="6"/>
    </row>
    <row r="17" spans="1:10" ht="15" customHeight="1" x14ac:dyDescent="0.25">
      <c r="A17" s="65"/>
      <c r="B17" s="216" t="s">
        <v>8</v>
      </c>
      <c r="C17" s="94" t="s">
        <v>163</v>
      </c>
      <c r="D17" s="22"/>
      <c r="E17" s="415">
        <v>16</v>
      </c>
      <c r="F17" s="352" t="s">
        <v>101</v>
      </c>
      <c r="G17" s="330">
        <v>16</v>
      </c>
      <c r="H17" s="93">
        <f>G17-E17</f>
        <v>0</v>
      </c>
      <c r="I17" s="21"/>
      <c r="J17" s="21"/>
    </row>
    <row r="18" spans="1:10" ht="15" customHeight="1" x14ac:dyDescent="0.25">
      <c r="A18" s="65"/>
      <c r="B18" s="216"/>
      <c r="C18" s="101" t="s">
        <v>22</v>
      </c>
      <c r="D18" s="102"/>
      <c r="E18" s="414">
        <v>1000</v>
      </c>
      <c r="F18" s="355" t="s">
        <v>23</v>
      </c>
      <c r="G18" s="293">
        <v>1000</v>
      </c>
      <c r="H18" s="93">
        <f t="shared" ref="H18:H69" si="0">G18-E18</f>
        <v>0</v>
      </c>
      <c r="I18" s="21"/>
      <c r="J18" s="21"/>
    </row>
    <row r="19" spans="1:10" ht="15" customHeight="1" x14ac:dyDescent="0.25">
      <c r="A19" s="65"/>
      <c r="B19" s="216"/>
      <c r="C19" s="101" t="s">
        <v>24</v>
      </c>
      <c r="D19" s="102" t="s">
        <v>25</v>
      </c>
      <c r="E19" s="413">
        <v>25</v>
      </c>
      <c r="F19" s="355" t="s">
        <v>26</v>
      </c>
      <c r="G19" s="330">
        <v>25</v>
      </c>
      <c r="H19" s="93">
        <f t="shared" si="0"/>
        <v>0</v>
      </c>
      <c r="I19" s="21"/>
      <c r="J19" s="21"/>
    </row>
    <row r="20" spans="1:10" ht="15" customHeight="1" x14ac:dyDescent="0.25">
      <c r="A20" s="65"/>
      <c r="B20" s="216"/>
      <c r="C20" s="88" t="s">
        <v>103</v>
      </c>
      <c r="D20" s="89"/>
      <c r="E20" s="66"/>
      <c r="F20" s="353"/>
      <c r="G20" s="66"/>
      <c r="H20" s="96"/>
      <c r="I20"/>
      <c r="J20"/>
    </row>
    <row r="21" spans="1:10" ht="15" customHeight="1" x14ac:dyDescent="0.25">
      <c r="A21" s="65"/>
      <c r="B21" s="217" t="s">
        <v>271</v>
      </c>
      <c r="C21" s="97" t="s">
        <v>104</v>
      </c>
      <c r="D21" s="98"/>
      <c r="E21" s="99">
        <v>1</v>
      </c>
      <c r="F21" s="354" t="s">
        <v>50</v>
      </c>
      <c r="G21" s="24">
        <v>1</v>
      </c>
      <c r="H21" s="93">
        <f t="shared" si="0"/>
        <v>0</v>
      </c>
      <c r="I21"/>
      <c r="J21"/>
    </row>
    <row r="22" spans="1:10" ht="15" customHeight="1" x14ac:dyDescent="0.25">
      <c r="A22" s="65"/>
      <c r="B22" s="215"/>
      <c r="C22" s="101" t="s">
        <v>42</v>
      </c>
      <c r="D22" s="102"/>
      <c r="E22" s="103">
        <v>0</v>
      </c>
      <c r="F22" s="355" t="s">
        <v>43</v>
      </c>
      <c r="G22" s="344">
        <v>0</v>
      </c>
      <c r="H22" s="93">
        <f t="shared" si="0"/>
        <v>0</v>
      </c>
      <c r="I22"/>
      <c r="J22"/>
    </row>
    <row r="23" spans="1:10" ht="15" customHeight="1" x14ac:dyDescent="0.35">
      <c r="A23" s="65"/>
      <c r="B23" s="215" t="s">
        <v>44</v>
      </c>
      <c r="C23" s="104" t="s">
        <v>45</v>
      </c>
      <c r="D23" s="42" t="s">
        <v>46</v>
      </c>
      <c r="E23" s="43">
        <f>VLOOKUP(ROUND(E19,0),'[1]Agua-T(°C)'!B6:I46,6)</f>
        <v>8.24</v>
      </c>
      <c r="F23" s="356" t="s">
        <v>21</v>
      </c>
      <c r="G23" s="41">
        <f>VLOOKUP(ROUND(G19,0),'[1]Agua-T(°C)'!B6:I46,6)</f>
        <v>8.24</v>
      </c>
      <c r="H23" s="93">
        <f t="shared" si="0"/>
        <v>0</v>
      </c>
      <c r="I23" s="21"/>
      <c r="J23" s="21"/>
    </row>
    <row r="24" spans="1:10" ht="15" customHeight="1" x14ac:dyDescent="0.35">
      <c r="A24" s="65"/>
      <c r="B24" s="215"/>
      <c r="C24" s="104" t="s">
        <v>47</v>
      </c>
      <c r="D24" s="42" t="s">
        <v>48</v>
      </c>
      <c r="E24" s="44">
        <f>E23*EXP(E55)</f>
        <v>7.3474308724449315</v>
      </c>
      <c r="F24" s="356" t="s">
        <v>21</v>
      </c>
      <c r="G24" s="345">
        <f>G23*EXP(G55)</f>
        <v>7.3474308724449315</v>
      </c>
      <c r="H24" s="93">
        <f t="shared" si="0"/>
        <v>0</v>
      </c>
      <c r="I24" s="21"/>
      <c r="J24" s="21"/>
    </row>
    <row r="25" spans="1:10" ht="15" customHeight="1" x14ac:dyDescent="0.25">
      <c r="A25" s="65"/>
      <c r="B25" s="215" t="s">
        <v>105</v>
      </c>
      <c r="C25" s="373" t="s">
        <v>49</v>
      </c>
      <c r="D25" s="374"/>
      <c r="E25" s="375">
        <f>E15-1</f>
        <v>2</v>
      </c>
      <c r="F25" s="376" t="s">
        <v>50</v>
      </c>
      <c r="G25" s="345">
        <f>G15-1</f>
        <v>2</v>
      </c>
      <c r="H25" s="93">
        <f t="shared" si="0"/>
        <v>0</v>
      </c>
      <c r="I25" s="21"/>
      <c r="J25" s="21"/>
    </row>
    <row r="26" spans="1:10" ht="15" customHeight="1" x14ac:dyDescent="0.25">
      <c r="A26" s="65"/>
      <c r="B26" s="215"/>
      <c r="C26" s="106" t="s">
        <v>51</v>
      </c>
      <c r="D26" s="107"/>
      <c r="E26" s="108">
        <v>0.3</v>
      </c>
      <c r="F26" s="357" t="s">
        <v>50</v>
      </c>
      <c r="G26" s="346">
        <v>0.3</v>
      </c>
      <c r="H26" s="93">
        <f t="shared" si="0"/>
        <v>0</v>
      </c>
      <c r="I26" s="21"/>
      <c r="J26" s="21"/>
    </row>
    <row r="27" spans="1:10" ht="15" customHeight="1" x14ac:dyDescent="0.25">
      <c r="A27" s="65"/>
      <c r="B27" s="215"/>
      <c r="C27" s="331" t="s">
        <v>106</v>
      </c>
      <c r="D27" s="332" t="s">
        <v>277</v>
      </c>
      <c r="E27" s="333">
        <f>E25+E26</f>
        <v>2.2999999999999998</v>
      </c>
      <c r="F27" s="358" t="s">
        <v>50</v>
      </c>
      <c r="G27" s="347">
        <f>G25+G26</f>
        <v>2.2999999999999998</v>
      </c>
      <c r="H27" s="93">
        <f t="shared" si="0"/>
        <v>0</v>
      </c>
      <c r="I27" s="21"/>
      <c r="J27" s="21"/>
    </row>
    <row r="28" spans="1:10" ht="15" customHeight="1" x14ac:dyDescent="0.25">
      <c r="A28" s="65"/>
      <c r="B28" s="215"/>
      <c r="C28" s="334"/>
      <c r="D28" s="335" t="s">
        <v>107</v>
      </c>
      <c r="E28" s="336">
        <f>E27*9.8</f>
        <v>22.54</v>
      </c>
      <c r="F28" s="359" t="s">
        <v>39</v>
      </c>
      <c r="G28" s="348">
        <f>G27*9.8</f>
        <v>22.54</v>
      </c>
      <c r="H28" s="93">
        <f t="shared" si="0"/>
        <v>0</v>
      </c>
      <c r="I28" s="21"/>
      <c r="J28" s="21"/>
    </row>
    <row r="29" spans="1:10" ht="15" customHeight="1" x14ac:dyDescent="0.25">
      <c r="A29" s="65"/>
      <c r="B29" s="217" t="s">
        <v>108</v>
      </c>
      <c r="C29" s="377" t="s">
        <v>52</v>
      </c>
      <c r="D29" s="184" t="s">
        <v>53</v>
      </c>
      <c r="E29" s="378">
        <f>E24*(E62+E28/2)/E62</f>
        <v>8.2638899664940784</v>
      </c>
      <c r="F29" s="220" t="s">
        <v>21</v>
      </c>
      <c r="G29" s="41">
        <f>G24*(G62+G28/2)/G62</f>
        <v>8.2638899664940784</v>
      </c>
      <c r="H29" s="93">
        <f t="shared" si="0"/>
        <v>0</v>
      </c>
      <c r="I29"/>
      <c r="J29"/>
    </row>
    <row r="30" spans="1:10" ht="15" customHeight="1" x14ac:dyDescent="0.25">
      <c r="A30" s="65"/>
      <c r="B30" s="216"/>
      <c r="C30" s="113" t="s">
        <v>11</v>
      </c>
      <c r="D30" s="114" t="s">
        <v>12</v>
      </c>
      <c r="E30" s="24">
        <f>E16^2/19.6</f>
        <v>3.2653061224489792</v>
      </c>
      <c r="F30" s="361" t="s">
        <v>13</v>
      </c>
      <c r="G30" s="24">
        <f>G16^2/19.6</f>
        <v>3.2653061224489792</v>
      </c>
      <c r="H30" s="93">
        <f t="shared" si="0"/>
        <v>0</v>
      </c>
      <c r="I30"/>
      <c r="J30"/>
    </row>
    <row r="31" spans="1:10" ht="15" customHeight="1" x14ac:dyDescent="0.25">
      <c r="A31" s="65"/>
      <c r="B31" s="216" t="s">
        <v>110</v>
      </c>
      <c r="C31" s="66" t="s">
        <v>111</v>
      </c>
      <c r="D31" s="27"/>
      <c r="E31" s="24">
        <f>E97</f>
        <v>80.644999999999996</v>
      </c>
      <c r="F31" s="353" t="s">
        <v>27</v>
      </c>
      <c r="G31" s="24">
        <f>E97</f>
        <v>80.644999999999996</v>
      </c>
      <c r="H31" s="93">
        <f t="shared" si="0"/>
        <v>0</v>
      </c>
      <c r="I31"/>
      <c r="J31"/>
    </row>
    <row r="32" spans="1:10" ht="15" customHeight="1" x14ac:dyDescent="0.25">
      <c r="A32" s="65"/>
      <c r="B32" s="216"/>
      <c r="C32" s="69" t="s">
        <v>14</v>
      </c>
      <c r="D32" s="27"/>
      <c r="E32" s="24">
        <f>1000*E31*E16/1000000</f>
        <v>0.64515999999999996</v>
      </c>
      <c r="F32" s="361" t="s">
        <v>15</v>
      </c>
      <c r="G32" s="24">
        <f>1000*G31*G16/1000000</f>
        <v>0.64515999999999996</v>
      </c>
      <c r="H32" s="93">
        <f t="shared" si="0"/>
        <v>0</v>
      </c>
      <c r="I32"/>
      <c r="J32"/>
    </row>
    <row r="33" spans="1:10" ht="15" customHeight="1" x14ac:dyDescent="0.25">
      <c r="A33" s="65"/>
      <c r="B33" s="215"/>
      <c r="C33" s="115" t="s">
        <v>112</v>
      </c>
      <c r="D33" s="31"/>
      <c r="E33" s="32">
        <f>E17*E32</f>
        <v>10.322559999999999</v>
      </c>
      <c r="F33" s="362" t="s">
        <v>15</v>
      </c>
      <c r="G33" s="24">
        <f>G17*G32</f>
        <v>10.322559999999999</v>
      </c>
      <c r="H33" s="93">
        <f t="shared" si="0"/>
        <v>0</v>
      </c>
      <c r="I33"/>
      <c r="J33"/>
    </row>
    <row r="34" spans="1:10" ht="15" customHeight="1" x14ac:dyDescent="0.25">
      <c r="A34" s="65"/>
      <c r="B34" s="215" t="s">
        <v>16</v>
      </c>
      <c r="C34" s="66" t="s">
        <v>17</v>
      </c>
      <c r="D34" s="27" t="s">
        <v>18</v>
      </c>
      <c r="E34" s="29">
        <f>9.81*0.001*E30*E32</f>
        <v>2.0666186448979593E-2</v>
      </c>
      <c r="F34" s="353" t="s">
        <v>19</v>
      </c>
      <c r="G34" s="29">
        <f>9.81*0.001*G30*G32</f>
        <v>2.0666186448979593E-2</v>
      </c>
      <c r="H34" s="93">
        <f t="shared" si="0"/>
        <v>0</v>
      </c>
      <c r="I34"/>
      <c r="J34"/>
    </row>
    <row r="35" spans="1:10" ht="15" customHeight="1" x14ac:dyDescent="0.25">
      <c r="A35" s="65"/>
      <c r="B35" s="215"/>
      <c r="C35" s="28" t="s">
        <v>113</v>
      </c>
      <c r="D35" s="27" t="s">
        <v>28</v>
      </c>
      <c r="E35" s="24">
        <f>2*E98</f>
        <v>6.35</v>
      </c>
      <c r="F35" s="353" t="s">
        <v>29</v>
      </c>
      <c r="G35" s="24">
        <f>2*E98</f>
        <v>6.35</v>
      </c>
      <c r="H35" s="93">
        <f t="shared" si="0"/>
        <v>0</v>
      </c>
      <c r="I35"/>
      <c r="J35"/>
    </row>
    <row r="36" spans="1:10" ht="15" customHeight="1" x14ac:dyDescent="0.25">
      <c r="A36" s="65"/>
      <c r="B36" s="215" t="s">
        <v>30</v>
      </c>
      <c r="C36" s="34" t="s">
        <v>31</v>
      </c>
      <c r="D36" s="35" t="s">
        <v>32</v>
      </c>
      <c r="E36" s="36">
        <f>2.954-0.13*E35</f>
        <v>2.1285000000000003</v>
      </c>
      <c r="F36" s="363" t="s">
        <v>33</v>
      </c>
      <c r="G36" s="24">
        <f>2.954-0.13*G35</f>
        <v>2.1285000000000003</v>
      </c>
      <c r="H36" s="93">
        <f t="shared" si="0"/>
        <v>0</v>
      </c>
      <c r="I36"/>
      <c r="J36"/>
    </row>
    <row r="37" spans="1:10" ht="15" customHeight="1" x14ac:dyDescent="0.25">
      <c r="A37" s="65"/>
      <c r="B37" s="215" t="s">
        <v>35</v>
      </c>
      <c r="C37" s="37" t="s">
        <v>114</v>
      </c>
      <c r="D37" s="38" t="s">
        <v>36</v>
      </c>
      <c r="E37" s="39">
        <f>E17*E34*E36</f>
        <v>0.70380764570644905</v>
      </c>
      <c r="F37" s="364" t="s">
        <v>37</v>
      </c>
      <c r="G37" s="24">
        <f>G17*G34*G36</f>
        <v>0.70380764570644905</v>
      </c>
      <c r="H37" s="93">
        <f t="shared" si="0"/>
        <v>0</v>
      </c>
      <c r="I37"/>
      <c r="J37"/>
    </row>
    <row r="38" spans="1:10" ht="15" customHeight="1" x14ac:dyDescent="0.25">
      <c r="A38" s="65"/>
      <c r="B38" s="215" t="s">
        <v>192</v>
      </c>
      <c r="C38" s="118" t="s">
        <v>115</v>
      </c>
      <c r="D38" s="111" t="s">
        <v>54</v>
      </c>
      <c r="E38" s="99">
        <v>0.95</v>
      </c>
      <c r="F38" s="360"/>
      <c r="G38" s="24">
        <v>0.95</v>
      </c>
      <c r="H38" s="93">
        <f t="shared" si="0"/>
        <v>0</v>
      </c>
      <c r="I38"/>
      <c r="J38"/>
    </row>
    <row r="39" spans="1:10" ht="15" customHeight="1" x14ac:dyDescent="0.25">
      <c r="A39" s="65"/>
      <c r="B39" s="215"/>
      <c r="C39" s="110" t="s">
        <v>116</v>
      </c>
      <c r="D39" s="119" t="s">
        <v>117</v>
      </c>
      <c r="E39" s="99"/>
      <c r="F39" s="360"/>
      <c r="G39" s="24"/>
      <c r="H39" s="93"/>
      <c r="I39"/>
      <c r="J39"/>
    </row>
    <row r="40" spans="1:10" ht="15" customHeight="1" x14ac:dyDescent="0.25">
      <c r="A40" s="65"/>
      <c r="B40" s="218" t="s">
        <v>190</v>
      </c>
      <c r="C40" s="110" t="s">
        <v>55</v>
      </c>
      <c r="D40" s="111" t="s">
        <v>56</v>
      </c>
      <c r="E40" s="99">
        <v>0.95</v>
      </c>
      <c r="F40" s="360"/>
      <c r="G40" s="24">
        <v>0.95</v>
      </c>
      <c r="H40" s="93">
        <f t="shared" si="0"/>
        <v>0</v>
      </c>
      <c r="I40"/>
      <c r="J40"/>
    </row>
    <row r="41" spans="1:10" ht="15" customHeight="1" x14ac:dyDescent="0.25">
      <c r="A41" s="65"/>
      <c r="B41" s="215" t="s">
        <v>44</v>
      </c>
      <c r="C41" s="120" t="s">
        <v>57</v>
      </c>
      <c r="D41" s="45" t="s">
        <v>118</v>
      </c>
      <c r="E41" s="46">
        <f>'Agua-T(°C)'!G26</f>
        <v>9.08</v>
      </c>
      <c r="F41" s="365" t="s">
        <v>21</v>
      </c>
      <c r="G41" s="24">
        <f>'Agua-T(°C)'!G26</f>
        <v>9.08</v>
      </c>
      <c r="H41" s="93">
        <f t="shared" si="0"/>
        <v>0</v>
      </c>
      <c r="I41"/>
      <c r="J41"/>
    </row>
    <row r="42" spans="1:10" ht="15" customHeight="1" x14ac:dyDescent="0.25">
      <c r="A42" s="65"/>
      <c r="B42" s="217" t="s">
        <v>58</v>
      </c>
      <c r="C42" s="122" t="s">
        <v>59</v>
      </c>
      <c r="D42" s="47" t="s">
        <v>60</v>
      </c>
      <c r="E42" s="48">
        <f>(E38*(E40*E29-E14)*(1.024^(E19-20))/E41)</f>
        <v>0.4536038309963274</v>
      </c>
      <c r="F42" s="366"/>
      <c r="G42" s="349">
        <f>(G38*(G40*G29-G14)*(1.024^(G19-20))/G41)</f>
        <v>0.4536038309963274</v>
      </c>
      <c r="H42" s="93">
        <f t="shared" si="0"/>
        <v>0</v>
      </c>
      <c r="I42"/>
      <c r="J42"/>
    </row>
    <row r="43" spans="1:10" ht="15" customHeight="1" x14ac:dyDescent="0.25">
      <c r="A43" s="65"/>
      <c r="B43" s="217" t="s">
        <v>61</v>
      </c>
      <c r="C43" s="177" t="s">
        <v>119</v>
      </c>
      <c r="D43" s="141" t="s">
        <v>272</v>
      </c>
      <c r="E43" s="142">
        <f>E37*E42</f>
        <v>0.3192498443769512</v>
      </c>
      <c r="F43" s="364" t="s">
        <v>120</v>
      </c>
      <c r="G43" s="24">
        <f>G37*G42</f>
        <v>0.3192498443769512</v>
      </c>
      <c r="H43" s="93">
        <f t="shared" si="0"/>
        <v>0</v>
      </c>
      <c r="I43"/>
      <c r="J43"/>
    </row>
    <row r="44" spans="1:10" ht="15" customHeight="1" x14ac:dyDescent="0.25">
      <c r="A44" s="65"/>
      <c r="B44" s="219"/>
      <c r="C44" s="50" t="s">
        <v>121</v>
      </c>
      <c r="D44" s="89"/>
      <c r="E44" s="127">
        <f>E30</f>
        <v>3.2653061224489792</v>
      </c>
      <c r="F44" s="367" t="s">
        <v>50</v>
      </c>
      <c r="G44" s="127">
        <f>G30</f>
        <v>3.2653061224489792</v>
      </c>
      <c r="H44" s="93">
        <f t="shared" si="0"/>
        <v>0</v>
      </c>
      <c r="I44"/>
      <c r="J44"/>
    </row>
    <row r="45" spans="1:10" ht="15" customHeight="1" x14ac:dyDescent="0.25">
      <c r="A45" s="65"/>
      <c r="B45" s="215" t="s">
        <v>122</v>
      </c>
      <c r="C45" s="50" t="s">
        <v>123</v>
      </c>
      <c r="D45" s="89"/>
      <c r="E45" s="127">
        <f>'Tubería de Succión'!E3</f>
        <v>0.22381057642259428</v>
      </c>
      <c r="F45" s="367" t="s">
        <v>50</v>
      </c>
      <c r="G45" s="127">
        <f>'Tubería de Succión'!G3</f>
        <v>0.22381057642259428</v>
      </c>
      <c r="H45" s="93">
        <f t="shared" si="0"/>
        <v>0</v>
      </c>
      <c r="I45"/>
      <c r="J45"/>
    </row>
    <row r="46" spans="1:10" ht="15" customHeight="1" x14ac:dyDescent="0.25">
      <c r="A46" s="65"/>
      <c r="B46" s="215" t="s">
        <v>81</v>
      </c>
      <c r="C46" s="50" t="s">
        <v>124</v>
      </c>
      <c r="D46" s="27"/>
      <c r="E46" s="128">
        <f>'Tubería de Aireación'!E2</f>
        <v>0.37506129115913822</v>
      </c>
      <c r="F46" s="368" t="s">
        <v>50</v>
      </c>
      <c r="G46" s="127">
        <f>'Tubería de Aireación'!G2</f>
        <v>0.37506129115913822</v>
      </c>
      <c r="H46" s="93">
        <f t="shared" si="0"/>
        <v>0</v>
      </c>
      <c r="I46"/>
      <c r="J46"/>
    </row>
    <row r="47" spans="1:10" ht="15" customHeight="1" x14ac:dyDescent="0.25">
      <c r="A47" s="65"/>
      <c r="B47" s="215" t="s">
        <v>105</v>
      </c>
      <c r="C47" s="50" t="s">
        <v>62</v>
      </c>
      <c r="D47" s="89"/>
      <c r="E47" s="127">
        <v>1.2</v>
      </c>
      <c r="F47" s="367" t="s">
        <v>50</v>
      </c>
      <c r="G47" s="127">
        <v>1.2</v>
      </c>
      <c r="H47" s="93">
        <f t="shared" si="0"/>
        <v>0</v>
      </c>
      <c r="I47"/>
      <c r="J47"/>
    </row>
    <row r="48" spans="1:10" ht="15" customHeight="1" x14ac:dyDescent="0.25">
      <c r="A48" s="65"/>
      <c r="B48" s="220"/>
      <c r="C48" s="129" t="s">
        <v>125</v>
      </c>
      <c r="D48" s="130"/>
      <c r="E48" s="131">
        <f>SUM(E44:E47)</f>
        <v>5.0641779900307116</v>
      </c>
      <c r="F48" s="369" t="s">
        <v>50</v>
      </c>
      <c r="G48" s="61">
        <f>SUM(G44:G47)</f>
        <v>5.0641779900307116</v>
      </c>
      <c r="H48" s="93">
        <f t="shared" si="0"/>
        <v>0</v>
      </c>
      <c r="I48"/>
      <c r="J48"/>
    </row>
    <row r="49" spans="1:10" ht="15" customHeight="1" x14ac:dyDescent="0.25">
      <c r="A49" s="65"/>
      <c r="B49" s="215" t="s">
        <v>63</v>
      </c>
      <c r="C49" s="132" t="s">
        <v>64</v>
      </c>
      <c r="D49" s="133"/>
      <c r="E49" s="134">
        <v>0.75</v>
      </c>
      <c r="F49" s="370"/>
      <c r="G49" s="350">
        <v>0.75</v>
      </c>
      <c r="H49" s="93">
        <f t="shared" si="0"/>
        <v>0</v>
      </c>
      <c r="I49"/>
      <c r="J49"/>
    </row>
    <row r="50" spans="1:10" ht="15" customHeight="1" x14ac:dyDescent="0.25">
      <c r="A50" s="65"/>
      <c r="B50" s="220"/>
      <c r="C50" s="394" t="s">
        <v>126</v>
      </c>
      <c r="D50" s="135"/>
      <c r="E50" s="136">
        <f>9.81*0.001*E33*E48/E49</f>
        <v>0.6837606774782502</v>
      </c>
      <c r="F50" s="371" t="s">
        <v>19</v>
      </c>
      <c r="G50" s="351">
        <f>9.81*0.001*G33*G48/G49</f>
        <v>0.6837606774782502</v>
      </c>
      <c r="H50" s="93">
        <f t="shared" si="0"/>
        <v>0</v>
      </c>
      <c r="I50"/>
      <c r="J50"/>
    </row>
    <row r="51" spans="1:10" ht="15" customHeight="1" x14ac:dyDescent="0.25">
      <c r="A51" s="65"/>
      <c r="B51" s="220"/>
      <c r="C51" s="395"/>
      <c r="D51" s="137"/>
      <c r="E51" s="138">
        <f>E50/0.746</f>
        <v>0.91656927275904854</v>
      </c>
      <c r="F51" s="372" t="s">
        <v>65</v>
      </c>
      <c r="G51" s="316">
        <f>G50/0.746</f>
        <v>0.91656927275904854</v>
      </c>
      <c r="H51" s="93">
        <f t="shared" si="0"/>
        <v>0</v>
      </c>
      <c r="I51"/>
      <c r="J51"/>
    </row>
    <row r="52" spans="1:10" ht="15" customHeight="1" x14ac:dyDescent="0.25">
      <c r="A52" s="65"/>
      <c r="C52" s="88" t="s">
        <v>127</v>
      </c>
      <c r="E52" s="20"/>
      <c r="G52" s="28"/>
      <c r="H52" s="96"/>
    </row>
    <row r="53" spans="1:10" ht="15" customHeight="1" x14ac:dyDescent="0.25">
      <c r="A53" s="65"/>
      <c r="B53" s="218" t="s">
        <v>129</v>
      </c>
      <c r="C53" s="110" t="s">
        <v>115</v>
      </c>
      <c r="D53" s="111" t="s">
        <v>54</v>
      </c>
      <c r="E53" s="99">
        <v>0.6</v>
      </c>
      <c r="F53" s="112"/>
      <c r="G53" s="70">
        <v>0.6</v>
      </c>
      <c r="H53" s="93">
        <f t="shared" si="0"/>
        <v>0</v>
      </c>
    </row>
    <row r="54" spans="1:10" ht="15" customHeight="1" x14ac:dyDescent="0.35">
      <c r="A54" s="65"/>
      <c r="B54" s="215"/>
      <c r="C54" s="104" t="s">
        <v>45</v>
      </c>
      <c r="D54" s="42" t="s">
        <v>46</v>
      </c>
      <c r="E54" s="41">
        <f>E23</f>
        <v>8.24</v>
      </c>
      <c r="F54" s="69" t="s">
        <v>21</v>
      </c>
      <c r="G54" s="71">
        <f>G23</f>
        <v>8.24</v>
      </c>
      <c r="H54" s="93">
        <f t="shared" si="0"/>
        <v>0</v>
      </c>
    </row>
    <row r="55" spans="1:10" ht="15" customHeight="1" x14ac:dyDescent="0.25">
      <c r="A55" s="65"/>
      <c r="B55" s="215"/>
      <c r="C55" s="144" t="s">
        <v>40</v>
      </c>
      <c r="D55" s="27"/>
      <c r="E55" s="24">
        <f>-9.81*28.97*E18/(8314*(273.15+E19))</f>
        <v>-0.11464963296434179</v>
      </c>
      <c r="F55" s="27"/>
      <c r="G55" s="70">
        <f>-9.81*28.97*G18/(8314*(273.15+G19))</f>
        <v>-0.11464963296434179</v>
      </c>
      <c r="H55" s="93">
        <f t="shared" si="0"/>
        <v>0</v>
      </c>
    </row>
    <row r="56" spans="1:10" ht="15" customHeight="1" x14ac:dyDescent="0.35">
      <c r="A56" s="65"/>
      <c r="B56" s="215"/>
      <c r="C56" s="104" t="s">
        <v>47</v>
      </c>
      <c r="D56" s="42" t="s">
        <v>48</v>
      </c>
      <c r="E56" s="44">
        <f>E54*EXP(E55)</f>
        <v>7.3474308724449315</v>
      </c>
      <c r="F56" s="69" t="s">
        <v>21</v>
      </c>
      <c r="G56" s="105">
        <f>G54*EXP(G55)</f>
        <v>7.3474308724449315</v>
      </c>
      <c r="H56" s="93">
        <f t="shared" si="0"/>
        <v>0</v>
      </c>
    </row>
    <row r="57" spans="1:10" ht="15" customHeight="1" x14ac:dyDescent="0.25">
      <c r="A57" s="65"/>
      <c r="B57" s="216"/>
      <c r="C57" s="145" t="s">
        <v>59</v>
      </c>
      <c r="D57" s="146" t="s">
        <v>60</v>
      </c>
      <c r="E57" s="147">
        <f>(E53*(E40*E56-E14)*(1.024^(E19-20))/E41)</f>
        <v>0.22171245731543746</v>
      </c>
      <c r="F57" s="148"/>
      <c r="G57" s="149">
        <f>(G53*(G40*G56-G14)*(1.024^(G19-20))/G41)</f>
        <v>0.22171245731543746</v>
      </c>
      <c r="H57" s="93">
        <f t="shared" si="0"/>
        <v>0</v>
      </c>
    </row>
    <row r="58" spans="1:10" ht="15" customHeight="1" x14ac:dyDescent="0.25">
      <c r="A58" s="65"/>
      <c r="B58" s="221" t="s">
        <v>130</v>
      </c>
      <c r="C58" s="150" t="s">
        <v>131</v>
      </c>
      <c r="D58" s="98" t="s">
        <v>276</v>
      </c>
      <c r="E58" s="151">
        <f>0.02/0.305</f>
        <v>6.5573770491803282E-2</v>
      </c>
      <c r="F58" s="100" t="s">
        <v>132</v>
      </c>
      <c r="G58" s="152">
        <f>0.02/0.305</f>
        <v>6.5573770491803282E-2</v>
      </c>
      <c r="H58" s="93">
        <f t="shared" si="0"/>
        <v>0</v>
      </c>
    </row>
    <row r="59" spans="1:10" ht="15" customHeight="1" x14ac:dyDescent="0.25">
      <c r="A59" s="65"/>
      <c r="B59" s="221"/>
      <c r="C59" s="68" t="s">
        <v>133</v>
      </c>
      <c r="D59" s="27"/>
      <c r="E59" s="153">
        <f>E58*E27</f>
        <v>0.15081967213114753</v>
      </c>
      <c r="F59" s="72"/>
      <c r="G59" s="152">
        <f>G58*G27</f>
        <v>0.15081967213114753</v>
      </c>
      <c r="H59" s="93">
        <f t="shared" si="0"/>
        <v>0</v>
      </c>
    </row>
    <row r="60" spans="1:10" ht="15" customHeight="1" x14ac:dyDescent="0.25">
      <c r="A60" s="65"/>
      <c r="B60" s="221" t="s">
        <v>191</v>
      </c>
      <c r="C60" s="150" t="s">
        <v>134</v>
      </c>
      <c r="D60" s="98" t="s">
        <v>135</v>
      </c>
      <c r="E60" s="154">
        <v>0.6</v>
      </c>
      <c r="F60" s="100"/>
      <c r="G60" s="155">
        <v>0.6</v>
      </c>
      <c r="H60" s="93">
        <f t="shared" si="0"/>
        <v>0</v>
      </c>
    </row>
    <row r="61" spans="1:10" ht="15" customHeight="1" x14ac:dyDescent="0.25">
      <c r="A61" s="65"/>
      <c r="B61" s="212"/>
      <c r="C61" s="156" t="s">
        <v>136</v>
      </c>
      <c r="D61" s="157" t="s">
        <v>137</v>
      </c>
      <c r="E61" s="158">
        <f>E33*E60</f>
        <v>6.193535999999999</v>
      </c>
      <c r="F61" s="159" t="s">
        <v>15</v>
      </c>
      <c r="G61" s="70">
        <f>G33*G60</f>
        <v>6.193535999999999</v>
      </c>
      <c r="H61" s="93">
        <f t="shared" si="0"/>
        <v>0</v>
      </c>
    </row>
    <row r="62" spans="1:10" ht="15" customHeight="1" x14ac:dyDescent="0.25">
      <c r="A62" s="65"/>
      <c r="B62" s="212"/>
      <c r="C62" s="162" t="s">
        <v>140</v>
      </c>
      <c r="D62" s="163" t="s">
        <v>41</v>
      </c>
      <c r="E62" s="51">
        <f>E66*EXP(E55)</f>
        <v>90.353782803986036</v>
      </c>
      <c r="F62" s="164" t="s">
        <v>39</v>
      </c>
      <c r="G62" s="25">
        <f>G66*EXP(G55)</f>
        <v>90.353782803986036</v>
      </c>
      <c r="H62" s="93">
        <f>G62-E62</f>
        <v>0</v>
      </c>
    </row>
    <row r="63" spans="1:10" ht="15" customHeight="1" x14ac:dyDescent="0.25">
      <c r="A63" s="65"/>
      <c r="B63" s="212"/>
      <c r="C63" s="165"/>
      <c r="D63" s="166"/>
      <c r="E63" s="167">
        <f>E62/9.81</f>
        <v>9.2103754132503592</v>
      </c>
      <c r="F63" s="168" t="s">
        <v>139</v>
      </c>
      <c r="G63" s="139">
        <f>G62/9.81</f>
        <v>9.2103754132503592</v>
      </c>
      <c r="H63" s="93">
        <f>G63-E63</f>
        <v>0</v>
      </c>
    </row>
    <row r="64" spans="1:10" ht="15" customHeight="1" x14ac:dyDescent="0.25">
      <c r="A64" s="65"/>
      <c r="B64" s="212"/>
      <c r="C64" s="160" t="s">
        <v>138</v>
      </c>
      <c r="D64" s="161"/>
      <c r="E64" s="46">
        <f>E63+E27</f>
        <v>11.510375413250358</v>
      </c>
      <c r="F64" s="121" t="s">
        <v>139</v>
      </c>
      <c r="G64" s="70">
        <f>G63+G27</f>
        <v>11.510375413250358</v>
      </c>
      <c r="H64" s="93">
        <f t="shared" si="0"/>
        <v>0</v>
      </c>
    </row>
    <row r="65" spans="1:8" ht="15" customHeight="1" x14ac:dyDescent="0.25">
      <c r="A65" s="65"/>
      <c r="B65" s="215"/>
      <c r="C65" s="177" t="s">
        <v>263</v>
      </c>
      <c r="D65" s="338"/>
      <c r="E65" s="142">
        <f>E61*E64/E63</f>
        <v>7.7401757579740833</v>
      </c>
      <c r="F65" s="337" t="s">
        <v>15</v>
      </c>
      <c r="G65" s="70">
        <f>G61*G64/G63</f>
        <v>7.7401757579740833</v>
      </c>
      <c r="H65" s="93">
        <f t="shared" si="0"/>
        <v>0</v>
      </c>
    </row>
    <row r="66" spans="1:8" ht="15" customHeight="1" x14ac:dyDescent="0.25">
      <c r="A66" s="65"/>
      <c r="B66" s="215"/>
      <c r="C66" s="169" t="s">
        <v>38</v>
      </c>
      <c r="D66" s="170" t="s">
        <v>141</v>
      </c>
      <c r="E66" s="171">
        <v>101.33</v>
      </c>
      <c r="F66" s="172" t="s">
        <v>39</v>
      </c>
      <c r="G66" s="93">
        <v>101.33</v>
      </c>
      <c r="H66" s="93">
        <f t="shared" si="0"/>
        <v>0</v>
      </c>
    </row>
    <row r="67" spans="1:8" ht="15" customHeight="1" x14ac:dyDescent="0.25">
      <c r="A67" s="65"/>
      <c r="B67" s="215"/>
      <c r="C67" s="165"/>
      <c r="D67" s="166"/>
      <c r="E67" s="167">
        <f>E66/9.8</f>
        <v>10.339795918367345</v>
      </c>
      <c r="F67" s="168" t="s">
        <v>139</v>
      </c>
      <c r="G67" s="139">
        <f>G66/9.8</f>
        <v>10.339795918367345</v>
      </c>
      <c r="H67" s="93">
        <f t="shared" si="0"/>
        <v>0</v>
      </c>
    </row>
    <row r="68" spans="1:8" ht="15" customHeight="1" x14ac:dyDescent="0.25">
      <c r="A68" s="65"/>
      <c r="B68" s="215"/>
      <c r="C68" s="177" t="s">
        <v>142</v>
      </c>
      <c r="D68" s="141" t="s">
        <v>274</v>
      </c>
      <c r="E68" s="142">
        <f>E65*E63/E67</f>
        <v>6.8947129187379206</v>
      </c>
      <c r="F68" s="337" t="s">
        <v>15</v>
      </c>
      <c r="G68" s="70">
        <f>G65*G63/G67</f>
        <v>6.8947129187379206</v>
      </c>
      <c r="H68" s="93">
        <f t="shared" si="0"/>
        <v>0</v>
      </c>
    </row>
    <row r="69" spans="1:8" ht="15" customHeight="1" x14ac:dyDescent="0.25">
      <c r="A69" s="65"/>
      <c r="B69" s="215"/>
      <c r="C69" s="173" t="s">
        <v>143</v>
      </c>
      <c r="D69" s="98"/>
      <c r="E69" s="174">
        <v>1.204</v>
      </c>
      <c r="F69" s="175" t="s">
        <v>144</v>
      </c>
      <c r="G69" s="70">
        <v>1.204</v>
      </c>
      <c r="H69" s="93">
        <f t="shared" si="0"/>
        <v>0</v>
      </c>
    </row>
    <row r="70" spans="1:8" ht="15" customHeight="1" x14ac:dyDescent="0.25">
      <c r="A70" s="65"/>
      <c r="B70" s="215"/>
      <c r="C70" s="176" t="s">
        <v>145</v>
      </c>
      <c r="D70" s="98"/>
      <c r="E70" s="151">
        <v>0.20899999999999999</v>
      </c>
      <c r="F70" s="175"/>
      <c r="G70" s="152">
        <v>0.20899999999999999</v>
      </c>
      <c r="H70" s="93">
        <f t="shared" ref="H70:H90" si="1">G70-E70</f>
        <v>0</v>
      </c>
    </row>
    <row r="71" spans="1:8" ht="15" customHeight="1" x14ac:dyDescent="0.25">
      <c r="A71" s="65"/>
      <c r="B71" s="215"/>
      <c r="C71" s="160" t="s">
        <v>146</v>
      </c>
      <c r="D71" s="27" t="s">
        <v>275</v>
      </c>
      <c r="E71" s="24">
        <f>E69*E70</f>
        <v>0.25163599999999997</v>
      </c>
      <c r="F71" s="69" t="s">
        <v>144</v>
      </c>
      <c r="G71" s="70">
        <f>G69*G70</f>
        <v>0.25163599999999997</v>
      </c>
      <c r="H71" s="93">
        <f t="shared" si="1"/>
        <v>0</v>
      </c>
    </row>
    <row r="72" spans="1:8" ht="15" customHeight="1" x14ac:dyDescent="0.25">
      <c r="A72" s="65"/>
      <c r="B72" s="215"/>
      <c r="C72" s="160" t="s">
        <v>147</v>
      </c>
      <c r="D72" s="27"/>
      <c r="E72" s="24">
        <f>3.6*E68*E71</f>
        <v>6.2458487280703263</v>
      </c>
      <c r="F72" s="69" t="s">
        <v>120</v>
      </c>
      <c r="G72" s="70">
        <f>3.6*G68*G71</f>
        <v>6.2458487280703263</v>
      </c>
      <c r="H72" s="93">
        <f t="shared" si="1"/>
        <v>0</v>
      </c>
    </row>
    <row r="73" spans="1:8" ht="15" customHeight="1" x14ac:dyDescent="0.25">
      <c r="A73" s="65"/>
      <c r="B73" s="215" t="s">
        <v>273</v>
      </c>
      <c r="C73" s="160" t="s">
        <v>148</v>
      </c>
      <c r="D73" s="27" t="s">
        <v>36</v>
      </c>
      <c r="E73" s="46">
        <f>E59*E72</f>
        <v>0.9419968573483114</v>
      </c>
      <c r="F73" s="69" t="s">
        <v>120</v>
      </c>
      <c r="G73" s="70">
        <f>G59*G72</f>
        <v>0.9419968573483114</v>
      </c>
      <c r="H73" s="93">
        <f t="shared" si="1"/>
        <v>0</v>
      </c>
    </row>
    <row r="74" spans="1:8" ht="15" customHeight="1" x14ac:dyDescent="0.25">
      <c r="A74" s="65"/>
      <c r="B74" s="215"/>
      <c r="C74" s="177" t="s">
        <v>149</v>
      </c>
      <c r="D74" s="141" t="s">
        <v>272</v>
      </c>
      <c r="E74" s="142">
        <f>E73*E57</f>
        <v>0.20885243802611372</v>
      </c>
      <c r="F74" s="117" t="s">
        <v>120</v>
      </c>
      <c r="G74" s="70">
        <f>G73*G57</f>
        <v>0.20885243802611372</v>
      </c>
      <c r="H74" s="93">
        <f t="shared" si="1"/>
        <v>0</v>
      </c>
    </row>
    <row r="75" spans="1:8" ht="15" customHeight="1" x14ac:dyDescent="0.25">
      <c r="A75" s="65"/>
      <c r="B75" s="215"/>
      <c r="C75" s="177" t="s">
        <v>150</v>
      </c>
      <c r="D75" s="141" t="s">
        <v>272</v>
      </c>
      <c r="E75" s="142">
        <f>E43</f>
        <v>0.3192498443769512</v>
      </c>
      <c r="F75" s="117" t="s">
        <v>120</v>
      </c>
      <c r="G75" s="70">
        <f>G43</f>
        <v>0.3192498443769512</v>
      </c>
      <c r="H75" s="93">
        <f t="shared" si="1"/>
        <v>0</v>
      </c>
    </row>
    <row r="76" spans="1:8" ht="15" customHeight="1" x14ac:dyDescent="0.25">
      <c r="A76" s="65"/>
      <c r="B76" s="215"/>
      <c r="C76" s="123" t="s">
        <v>151</v>
      </c>
      <c r="D76" s="124" t="s">
        <v>272</v>
      </c>
      <c r="E76" s="125">
        <f>E74+E75</f>
        <v>0.52810228240306489</v>
      </c>
      <c r="F76" s="126" t="s">
        <v>120</v>
      </c>
      <c r="G76" s="70">
        <f>G74+G75</f>
        <v>0.52810228240306489</v>
      </c>
      <c r="H76" s="93">
        <f t="shared" si="1"/>
        <v>0</v>
      </c>
    </row>
    <row r="77" spans="1:8" ht="15" customHeight="1" x14ac:dyDescent="0.25">
      <c r="A77" s="65"/>
      <c r="B77" s="222"/>
      <c r="C77" s="140" t="s">
        <v>152</v>
      </c>
      <c r="D77" s="141" t="s">
        <v>272</v>
      </c>
      <c r="E77" s="178">
        <f>E76/E17</f>
        <v>3.3006392650191556E-2</v>
      </c>
      <c r="F77" s="117" t="s">
        <v>120</v>
      </c>
      <c r="G77" s="179">
        <f>G76/G17</f>
        <v>3.3006392650191556E-2</v>
      </c>
      <c r="H77" s="93">
        <f t="shared" si="1"/>
        <v>0</v>
      </c>
    </row>
    <row r="78" spans="1:8" ht="15" customHeight="1" x14ac:dyDescent="0.25">
      <c r="A78" s="65"/>
      <c r="B78" s="222"/>
      <c r="C78" s="19" t="s">
        <v>153</v>
      </c>
      <c r="G78" s="28"/>
      <c r="H78" s="96"/>
    </row>
    <row r="79" spans="1:8" ht="15" customHeight="1" x14ac:dyDescent="0.25">
      <c r="A79" s="65"/>
      <c r="B79" s="222" t="s">
        <v>261</v>
      </c>
      <c r="C79" s="329" t="s">
        <v>260</v>
      </c>
      <c r="D79" s="42"/>
      <c r="E79" s="41">
        <f>'Tubería del Soplador'!E2</f>
        <v>2.3772181650270618E-2</v>
      </c>
      <c r="F79" s="109" t="s">
        <v>50</v>
      </c>
      <c r="G79" s="71">
        <f>'Tubería del Soplador'!G2</f>
        <v>2.3772181650270618E-2</v>
      </c>
      <c r="H79" s="93">
        <f>G79-E79</f>
        <v>0</v>
      </c>
    </row>
    <row r="80" spans="1:8" ht="15" customHeight="1" x14ac:dyDescent="0.25">
      <c r="A80" s="65"/>
      <c r="B80" s="222"/>
      <c r="C80" s="143" t="s">
        <v>154</v>
      </c>
      <c r="D80" s="339"/>
      <c r="E80" s="340">
        <f>E27+E79</f>
        <v>2.3237721816502703</v>
      </c>
      <c r="F80" s="341" t="s">
        <v>50</v>
      </c>
      <c r="G80" s="25">
        <f>G27+G79</f>
        <v>2.3237721816502703</v>
      </c>
      <c r="H80" s="93">
        <f t="shared" si="1"/>
        <v>0</v>
      </c>
    </row>
    <row r="81" spans="1:8" ht="15" customHeight="1" x14ac:dyDescent="0.25">
      <c r="A81" s="65"/>
      <c r="B81" s="223"/>
      <c r="C81" s="181"/>
      <c r="D81" s="182"/>
      <c r="E81" s="167">
        <f>E80*9.8</f>
        <v>22.772967380172652</v>
      </c>
      <c r="F81" s="183" t="s">
        <v>39</v>
      </c>
      <c r="G81" s="139">
        <f>G80*9.8</f>
        <v>22.772967380172652</v>
      </c>
      <c r="H81" s="93">
        <f t="shared" si="1"/>
        <v>0</v>
      </c>
    </row>
    <row r="82" spans="1:8" ht="15" customHeight="1" x14ac:dyDescent="0.25">
      <c r="A82" s="65"/>
      <c r="B82" s="215"/>
      <c r="C82" s="180" t="s">
        <v>209</v>
      </c>
      <c r="D82" s="184" t="s">
        <v>155</v>
      </c>
      <c r="E82" s="46">
        <f>E69*E63/E67</f>
        <v>1.0724865447155201</v>
      </c>
      <c r="F82" s="185" t="s">
        <v>89</v>
      </c>
      <c r="G82" s="70">
        <f>G69*G63/G67</f>
        <v>1.0724865447155201</v>
      </c>
      <c r="H82" s="93">
        <f t="shared" si="1"/>
        <v>0</v>
      </c>
    </row>
    <row r="83" spans="1:8" ht="15" customHeight="1" x14ac:dyDescent="0.25">
      <c r="A83" s="65"/>
      <c r="B83" s="215" t="s">
        <v>156</v>
      </c>
      <c r="C83" s="186" t="s">
        <v>157</v>
      </c>
      <c r="D83" s="187"/>
      <c r="E83" s="154">
        <v>0.8</v>
      </c>
      <c r="F83" s="188"/>
      <c r="G83" s="155">
        <v>0.8</v>
      </c>
      <c r="H83" s="93">
        <f t="shared" si="1"/>
        <v>0</v>
      </c>
    </row>
    <row r="84" spans="1:8" ht="15" customHeight="1" x14ac:dyDescent="0.25">
      <c r="A84" s="65"/>
      <c r="B84" s="218" t="s">
        <v>278</v>
      </c>
      <c r="C84" s="30" t="s">
        <v>158</v>
      </c>
      <c r="D84" s="115"/>
      <c r="E84" s="32">
        <f>(0.001*E65*E82)*8.314*(273.15+E19)*(((E62+E81)/E62)^0.283-1)/(29.7*0.283*E83)</f>
        <v>0.20099131586958968</v>
      </c>
      <c r="F84" s="115" t="s">
        <v>19</v>
      </c>
      <c r="G84" s="70">
        <f>(0.001*G65*G82)*8.314*(273.15+G19)*(((G62+G81)/G62)^0.283-1)/(29.7*0.283*G83)</f>
        <v>0.20099131586958968</v>
      </c>
      <c r="H84" s="93">
        <f t="shared" si="1"/>
        <v>0</v>
      </c>
    </row>
    <row r="85" spans="1:8" ht="15" customHeight="1" x14ac:dyDescent="0.25">
      <c r="A85" s="65"/>
      <c r="B85" s="222"/>
      <c r="C85" s="26" t="s">
        <v>270</v>
      </c>
      <c r="D85" s="69"/>
      <c r="E85" s="24">
        <f>E83*E84</f>
        <v>0.16079305269567176</v>
      </c>
      <c r="F85" s="69" t="s">
        <v>34</v>
      </c>
      <c r="G85" s="70">
        <f>G83*G84</f>
        <v>0.16079305269567176</v>
      </c>
      <c r="H85" s="93">
        <f t="shared" si="1"/>
        <v>0</v>
      </c>
    </row>
    <row r="86" spans="1:8" ht="15" customHeight="1" x14ac:dyDescent="0.25">
      <c r="A86" s="65"/>
      <c r="B86" s="222"/>
      <c r="C86" s="26" t="s">
        <v>264</v>
      </c>
      <c r="D86" s="69"/>
      <c r="E86" s="24">
        <f>E17*E34</f>
        <v>0.33065898318367348</v>
      </c>
      <c r="F86" s="69" t="s">
        <v>34</v>
      </c>
      <c r="G86" s="70">
        <f>G17*G34</f>
        <v>0.33065898318367348</v>
      </c>
      <c r="H86" s="93">
        <f t="shared" si="1"/>
        <v>0</v>
      </c>
    </row>
    <row r="87" spans="1:8" ht="15" customHeight="1" x14ac:dyDescent="0.25">
      <c r="A87" s="65"/>
      <c r="B87" s="222"/>
      <c r="C87" s="189" t="s">
        <v>159</v>
      </c>
      <c r="D87" s="190"/>
      <c r="E87" s="191">
        <f>E86+E85</f>
        <v>0.49145203587934527</v>
      </c>
      <c r="F87" s="190" t="s">
        <v>19</v>
      </c>
      <c r="G87" s="70">
        <f>G86+G85</f>
        <v>0.49145203587934527</v>
      </c>
      <c r="H87" s="93">
        <f t="shared" si="1"/>
        <v>0</v>
      </c>
    </row>
    <row r="88" spans="1:8" ht="15" customHeight="1" x14ac:dyDescent="0.25">
      <c r="A88" s="65"/>
      <c r="B88" s="92"/>
      <c r="C88" s="113" t="s">
        <v>160</v>
      </c>
      <c r="D88" s="114" t="s">
        <v>36</v>
      </c>
      <c r="E88" s="24">
        <f>E37</f>
        <v>0.70380764570644905</v>
      </c>
      <c r="F88" s="69" t="s">
        <v>37</v>
      </c>
      <c r="G88" s="70">
        <f>G37</f>
        <v>0.70380764570644905</v>
      </c>
      <c r="H88" s="93">
        <f t="shared" si="1"/>
        <v>0</v>
      </c>
    </row>
    <row r="89" spans="1:8" ht="15" customHeight="1" x14ac:dyDescent="0.25">
      <c r="A89" s="65"/>
      <c r="B89" s="92"/>
      <c r="C89" s="113" t="s">
        <v>161</v>
      </c>
      <c r="D89" s="114" t="s">
        <v>36</v>
      </c>
      <c r="E89" s="24">
        <f>E73</f>
        <v>0.9419968573483114</v>
      </c>
      <c r="F89" s="69" t="s">
        <v>37</v>
      </c>
      <c r="G89" s="70">
        <f>G73</f>
        <v>0.9419968573483114</v>
      </c>
      <c r="H89" s="93">
        <f t="shared" si="1"/>
        <v>0</v>
      </c>
    </row>
    <row r="90" spans="1:8" x14ac:dyDescent="0.25">
      <c r="A90" s="65"/>
      <c r="B90" s="95"/>
      <c r="C90" s="49" t="s">
        <v>31</v>
      </c>
      <c r="D90" s="224" t="s">
        <v>32</v>
      </c>
      <c r="E90" s="36">
        <f>(E88+E89)/E87</f>
        <v>3.3488608916024849</v>
      </c>
      <c r="F90" s="116" t="s">
        <v>33</v>
      </c>
      <c r="G90" s="70">
        <f>(G88+G89)/G87</f>
        <v>3.3488608916024849</v>
      </c>
      <c r="H90" s="93">
        <f t="shared" si="1"/>
        <v>0</v>
      </c>
    </row>
    <row r="91" spans="1:8" x14ac:dyDescent="0.25">
      <c r="B91" s="192"/>
      <c r="C91" s="193"/>
      <c r="D91" s="194"/>
      <c r="E91" s="195"/>
      <c r="F91" s="6"/>
    </row>
    <row r="92" spans="1:8" x14ac:dyDescent="0.25">
      <c r="B92" s="192"/>
      <c r="C92" s="19" t="s">
        <v>66</v>
      </c>
      <c r="D92" s="17"/>
      <c r="E92" s="6"/>
      <c r="F92" s="33"/>
    </row>
    <row r="93" spans="1:8" x14ac:dyDescent="0.25">
      <c r="C93" s="176" t="s">
        <v>67</v>
      </c>
      <c r="D93" s="196"/>
      <c r="E93" s="197">
        <f>25.4/2</f>
        <v>12.7</v>
      </c>
      <c r="F93" s="198" t="s">
        <v>29</v>
      </c>
    </row>
    <row r="94" spans="1:8" x14ac:dyDescent="0.25">
      <c r="C94" s="56" t="s">
        <v>68</v>
      </c>
      <c r="D94" s="57"/>
      <c r="E94" s="58">
        <f>E93^2</f>
        <v>161.29</v>
      </c>
      <c r="F94" s="59" t="s">
        <v>27</v>
      </c>
    </row>
    <row r="95" spans="1:8" x14ac:dyDescent="0.25">
      <c r="C95" s="199" t="s">
        <v>69</v>
      </c>
      <c r="D95" s="200" t="s">
        <v>162</v>
      </c>
      <c r="E95" s="197">
        <f>25.4/4</f>
        <v>6.35</v>
      </c>
      <c r="F95" s="201" t="s">
        <v>29</v>
      </c>
    </row>
    <row r="96" spans="1:8" x14ac:dyDescent="0.25">
      <c r="C96" s="56" t="s">
        <v>70</v>
      </c>
      <c r="D96" s="60">
        <f>E96/E94</f>
        <v>0.5</v>
      </c>
      <c r="E96" s="61">
        <f>E95*E93</f>
        <v>80.644999999999996</v>
      </c>
      <c r="F96" s="59" t="s">
        <v>27</v>
      </c>
    </row>
    <row r="97" spans="3:6" x14ac:dyDescent="0.25">
      <c r="C97" s="56" t="s">
        <v>71</v>
      </c>
      <c r="D97" s="60">
        <f>E97/E94</f>
        <v>0.5</v>
      </c>
      <c r="E97" s="202">
        <f>E94-E96</f>
        <v>80.644999999999996</v>
      </c>
      <c r="F97" s="59" t="s">
        <v>27</v>
      </c>
    </row>
    <row r="98" spans="3:6" x14ac:dyDescent="0.25">
      <c r="C98" s="56" t="s">
        <v>72</v>
      </c>
      <c r="D98" s="203" t="s">
        <v>73</v>
      </c>
      <c r="E98" s="61">
        <f>(E93-E95)/2</f>
        <v>3.1749999999999998</v>
      </c>
      <c r="F98" s="59" t="s">
        <v>29</v>
      </c>
    </row>
    <row r="99" spans="3:6" x14ac:dyDescent="0.25">
      <c r="C99" s="56" t="s">
        <v>74</v>
      </c>
      <c r="D99" s="203" t="s">
        <v>75</v>
      </c>
      <c r="E99" s="61">
        <f>25.4/2</f>
        <v>12.7</v>
      </c>
      <c r="F99" s="59" t="s">
        <v>29</v>
      </c>
    </row>
    <row r="100" spans="3:6" x14ac:dyDescent="0.25">
      <c r="C100" s="204" t="s">
        <v>76</v>
      </c>
      <c r="D100" s="205"/>
      <c r="E100" s="206">
        <v>2</v>
      </c>
      <c r="F100" s="207" t="s">
        <v>29</v>
      </c>
    </row>
    <row r="101" spans="3:6" x14ac:dyDescent="0.25">
      <c r="C101" s="52" t="s">
        <v>77</v>
      </c>
      <c r="D101" s="53"/>
      <c r="E101" s="54">
        <f>E100*E99</f>
        <v>25.4</v>
      </c>
      <c r="F101" s="55" t="s">
        <v>27</v>
      </c>
    </row>
    <row r="102" spans="3:6" x14ac:dyDescent="0.25">
      <c r="C102" s="208" t="s">
        <v>78</v>
      </c>
      <c r="D102" s="209" t="s">
        <v>79</v>
      </c>
      <c r="E102" s="210">
        <v>7.76</v>
      </c>
      <c r="F102" s="211" t="s">
        <v>29</v>
      </c>
    </row>
    <row r="103" spans="3:6" x14ac:dyDescent="0.25">
      <c r="C103" s="56" t="s">
        <v>80</v>
      </c>
      <c r="D103" s="62"/>
      <c r="E103" s="61">
        <f>2*0.25*3.14*E102^2</f>
        <v>94.541631999999993</v>
      </c>
      <c r="F103" s="63" t="s">
        <v>27</v>
      </c>
    </row>
    <row r="105" spans="3:6" ht="15.75" x14ac:dyDescent="0.25">
      <c r="C105" s="396" t="s">
        <v>166</v>
      </c>
      <c r="D105" s="397"/>
      <c r="E105"/>
      <c r="F105"/>
    </row>
    <row r="106" spans="3:6" x14ac:dyDescent="0.25">
      <c r="C106" s="389" t="s">
        <v>167</v>
      </c>
      <c r="D106" s="392"/>
      <c r="E106" s="388"/>
      <c r="F106" s="388"/>
    </row>
    <row r="107" spans="3:6" x14ac:dyDescent="0.25">
      <c r="C107" s="389" t="s">
        <v>168</v>
      </c>
      <c r="D107" s="392"/>
      <c r="E107" s="388"/>
      <c r="F107" s="388"/>
    </row>
    <row r="108" spans="3:6" x14ac:dyDescent="0.25">
      <c r="C108" s="389" t="s">
        <v>169</v>
      </c>
      <c r="D108" s="390"/>
      <c r="E108" s="390"/>
      <c r="F108" s="390"/>
    </row>
    <row r="109" spans="3:6" x14ac:dyDescent="0.25">
      <c r="C109" s="389" t="s">
        <v>170</v>
      </c>
      <c r="D109" s="392"/>
      <c r="E109" s="388"/>
      <c r="F109" s="388"/>
    </row>
    <row r="110" spans="3:6" x14ac:dyDescent="0.25">
      <c r="C110" s="389" t="s">
        <v>171</v>
      </c>
      <c r="D110" s="392"/>
      <c r="E110" s="388"/>
      <c r="F110" s="388"/>
    </row>
    <row r="111" spans="3:6" x14ac:dyDescent="0.25">
      <c r="C111" s="389" t="s">
        <v>172</v>
      </c>
      <c r="D111" s="388"/>
      <c r="E111" s="388"/>
      <c r="F111" s="388"/>
    </row>
    <row r="112" spans="3:6" x14ac:dyDescent="0.25">
      <c r="C112" s="389" t="s">
        <v>173</v>
      </c>
      <c r="D112" s="388"/>
      <c r="E112" s="388"/>
      <c r="F112" s="388"/>
    </row>
    <row r="113" spans="3:6" x14ac:dyDescent="0.25">
      <c r="C113" s="389" t="s">
        <v>174</v>
      </c>
      <c r="D113" s="388"/>
      <c r="E113" s="388"/>
      <c r="F113" s="388"/>
    </row>
    <row r="114" spans="3:6" x14ac:dyDescent="0.25">
      <c r="C114" s="389" t="s">
        <v>175</v>
      </c>
      <c r="D114" s="388"/>
      <c r="E114" s="388"/>
      <c r="F114" s="388"/>
    </row>
    <row r="115" spans="3:6" x14ac:dyDescent="0.25">
      <c r="C115" s="389" t="s">
        <v>176</v>
      </c>
      <c r="D115" s="388"/>
      <c r="E115" s="388"/>
      <c r="F115" s="388"/>
    </row>
    <row r="116" spans="3:6" x14ac:dyDescent="0.25">
      <c r="C116" s="389" t="s">
        <v>177</v>
      </c>
      <c r="D116" s="388"/>
      <c r="E116" s="388"/>
      <c r="F116" s="388"/>
    </row>
    <row r="117" spans="3:6" x14ac:dyDescent="0.25">
      <c r="C117" s="389" t="s">
        <v>178</v>
      </c>
      <c r="D117" s="388"/>
      <c r="E117" s="388"/>
      <c r="F117" s="388"/>
    </row>
    <row r="118" spans="3:6" x14ac:dyDescent="0.25">
      <c r="C118" s="389" t="s">
        <v>179</v>
      </c>
      <c r="D118" s="388"/>
      <c r="E118" s="388"/>
      <c r="F118" s="388"/>
    </row>
    <row r="119" spans="3:6" x14ac:dyDescent="0.25">
      <c r="C119" s="389" t="s">
        <v>180</v>
      </c>
      <c r="D119" s="388"/>
      <c r="E119" s="388"/>
      <c r="F119" s="388"/>
    </row>
    <row r="120" spans="3:6" x14ac:dyDescent="0.25">
      <c r="C120" s="389" t="s">
        <v>181</v>
      </c>
      <c r="D120" s="390"/>
      <c r="E120" s="390"/>
      <c r="F120" s="390"/>
    </row>
    <row r="121" spans="3:6" x14ac:dyDescent="0.25">
      <c r="C121" s="385" t="s">
        <v>182</v>
      </c>
      <c r="D121" s="385"/>
      <c r="E121" s="385"/>
      <c r="F121" s="385"/>
    </row>
    <row r="122" spans="3:6" x14ac:dyDescent="0.25">
      <c r="C122" s="385" t="s">
        <v>183</v>
      </c>
      <c r="D122" s="391"/>
      <c r="E122" s="391"/>
      <c r="F122" s="391"/>
    </row>
    <row r="123" spans="3:6" x14ac:dyDescent="0.25">
      <c r="C123" s="385" t="s">
        <v>184</v>
      </c>
      <c r="D123" s="386"/>
      <c r="E123" s="387"/>
      <c r="F123" s="387"/>
    </row>
    <row r="124" spans="3:6" x14ac:dyDescent="0.25">
      <c r="C124" s="385" t="s">
        <v>185</v>
      </c>
      <c r="D124" s="386"/>
      <c r="E124" s="387"/>
      <c r="F124" s="387"/>
    </row>
    <row r="125" spans="3:6" x14ac:dyDescent="0.25">
      <c r="C125" s="385" t="s">
        <v>186</v>
      </c>
      <c r="D125" s="388"/>
      <c r="E125" s="388"/>
      <c r="F125" s="388"/>
    </row>
    <row r="126" spans="3:6" x14ac:dyDescent="0.25">
      <c r="C126" s="385" t="s">
        <v>187</v>
      </c>
      <c r="D126" s="387"/>
      <c r="E126" s="387"/>
      <c r="F126" s="387"/>
    </row>
    <row r="127" spans="3:6" x14ac:dyDescent="0.25">
      <c r="C127" s="385" t="s">
        <v>188</v>
      </c>
      <c r="D127" s="386"/>
      <c r="E127" s="387"/>
      <c r="F127" s="387"/>
    </row>
  </sheetData>
  <mergeCells count="25">
    <mergeCell ref="C12:F12"/>
    <mergeCell ref="C50:C51"/>
    <mergeCell ref="C105:D105"/>
    <mergeCell ref="C106:F106"/>
    <mergeCell ref="C107:F107"/>
    <mergeCell ref="C108:F108"/>
    <mergeCell ref="C109:F109"/>
    <mergeCell ref="C110:F110"/>
    <mergeCell ref="C111:F111"/>
    <mergeCell ref="C112:F112"/>
    <mergeCell ref="C113:F113"/>
    <mergeCell ref="C114:F114"/>
    <mergeCell ref="C115:F115"/>
    <mergeCell ref="C116:F116"/>
    <mergeCell ref="C117:F117"/>
    <mergeCell ref="C118:F118"/>
    <mergeCell ref="C119:F119"/>
    <mergeCell ref="C120:F120"/>
    <mergeCell ref="C121:F121"/>
    <mergeCell ref="C122:F122"/>
    <mergeCell ref="C123:F123"/>
    <mergeCell ref="C124:F124"/>
    <mergeCell ref="C125:F125"/>
    <mergeCell ref="C126:F126"/>
    <mergeCell ref="C127:F12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C3FEE-383D-43EE-BEE7-B8808263529E}">
  <dimension ref="A1:H60"/>
  <sheetViews>
    <sheetView showGridLines="0" zoomScale="75" zoomScaleNormal="75" workbookViewId="0">
      <selection activeCell="A19" sqref="A19"/>
    </sheetView>
  </sheetViews>
  <sheetFormatPr baseColWidth="10" defaultRowHeight="15" x14ac:dyDescent="0.25"/>
  <cols>
    <col min="1" max="1" width="27.140625" customWidth="1"/>
    <col min="2" max="2" width="21.140625" customWidth="1"/>
    <col min="3" max="3" width="20.7109375" customWidth="1"/>
    <col min="4" max="4" width="19" customWidth="1"/>
    <col min="5" max="5" width="11.85546875" customWidth="1"/>
    <col min="8" max="8" width="14.28515625" customWidth="1"/>
  </cols>
  <sheetData>
    <row r="1" spans="1:8" ht="31.5" x14ac:dyDescent="0.25">
      <c r="A1" s="226" t="s">
        <v>5</v>
      </c>
      <c r="B1" s="227"/>
      <c r="C1" s="64"/>
      <c r="D1" s="64"/>
      <c r="E1" s="64"/>
      <c r="F1" s="212"/>
      <c r="G1" s="228" t="s">
        <v>6</v>
      </c>
      <c r="H1" s="16" t="s">
        <v>7</v>
      </c>
    </row>
    <row r="2" spans="1:8" ht="15.75" x14ac:dyDescent="0.25">
      <c r="A2" s="85"/>
      <c r="B2" s="280"/>
      <c r="C2" s="281" t="s">
        <v>235</v>
      </c>
      <c r="F2" s="10"/>
      <c r="G2" s="282"/>
      <c r="H2" s="65"/>
    </row>
    <row r="3" spans="1:8" ht="15.75" x14ac:dyDescent="0.25">
      <c r="A3" s="15"/>
      <c r="B3" s="283" t="s">
        <v>194</v>
      </c>
      <c r="C3" s="284"/>
      <c r="D3" s="285"/>
      <c r="E3" s="286">
        <f>E4+E15</f>
        <v>0.22381057642259428</v>
      </c>
      <c r="F3" s="287" t="s">
        <v>50</v>
      </c>
      <c r="G3" s="71">
        <f>G4+G15</f>
        <v>0.22381057642259428</v>
      </c>
      <c r="H3" s="25">
        <f t="shared" ref="H3:H28" si="0">G3-E3</f>
        <v>0</v>
      </c>
    </row>
    <row r="4" spans="1:8" ht="15.75" x14ac:dyDescent="0.25">
      <c r="A4" s="65"/>
      <c r="B4" s="288" t="s">
        <v>236</v>
      </c>
      <c r="C4" s="289"/>
      <c r="D4" s="290" t="s">
        <v>237</v>
      </c>
      <c r="E4" s="291">
        <f>E10+E13+E14</f>
        <v>0.19428341901182838</v>
      </c>
      <c r="F4" s="292" t="s">
        <v>50</v>
      </c>
      <c r="G4" s="250">
        <f>G10+G13+G14</f>
        <v>0.19428341901182838</v>
      </c>
      <c r="H4" s="25">
        <f t="shared" si="0"/>
        <v>0</v>
      </c>
    </row>
    <row r="5" spans="1:8" ht="18.75" x14ac:dyDescent="0.35">
      <c r="A5" s="65"/>
      <c r="B5" s="28" t="s">
        <v>222</v>
      </c>
      <c r="C5" s="66" t="s">
        <v>223</v>
      </c>
      <c r="D5" s="66" t="s">
        <v>238</v>
      </c>
      <c r="E5" s="293">
        <v>150</v>
      </c>
      <c r="F5" s="294"/>
      <c r="G5" s="67">
        <v>150</v>
      </c>
      <c r="H5" s="25">
        <f t="shared" si="0"/>
        <v>0</v>
      </c>
    </row>
    <row r="6" spans="1:8" x14ac:dyDescent="0.25">
      <c r="A6" s="270" t="s">
        <v>196</v>
      </c>
      <c r="B6" s="28" t="s">
        <v>197</v>
      </c>
      <c r="C6" s="268"/>
      <c r="D6" s="290"/>
      <c r="E6" s="295">
        <f>'[1]Parrilla de Aireación '!E38</f>
        <v>9.0753845259310992</v>
      </c>
      <c r="F6" s="296" t="s">
        <v>15</v>
      </c>
      <c r="G6" s="297">
        <f>'[1]Parrilla de Aireación '!G38</f>
        <v>9.0753845259310992</v>
      </c>
      <c r="H6" s="25">
        <f t="shared" si="0"/>
        <v>0</v>
      </c>
    </row>
    <row r="7" spans="1:8" x14ac:dyDescent="0.25">
      <c r="A7" s="215" t="s">
        <v>105</v>
      </c>
      <c r="B7" s="298" t="s">
        <v>198</v>
      </c>
      <c r="C7" s="299"/>
      <c r="D7" s="299"/>
      <c r="E7" s="300">
        <f>1.4+0.5</f>
        <v>1.9</v>
      </c>
      <c r="F7" s="301" t="s">
        <v>13</v>
      </c>
      <c r="G7" s="67">
        <f>1.4+0.5</f>
        <v>1.9</v>
      </c>
      <c r="H7" s="25">
        <f t="shared" si="0"/>
        <v>0</v>
      </c>
    </row>
    <row r="8" spans="1:8" x14ac:dyDescent="0.25">
      <c r="A8" s="65"/>
      <c r="B8" s="302" t="s">
        <v>199</v>
      </c>
      <c r="C8" s="242"/>
      <c r="D8" s="243"/>
      <c r="E8" s="303">
        <v>4</v>
      </c>
      <c r="F8" s="301" t="s">
        <v>200</v>
      </c>
      <c r="G8" s="304">
        <v>4</v>
      </c>
      <c r="H8" s="25">
        <f t="shared" si="0"/>
        <v>0</v>
      </c>
    </row>
    <row r="9" spans="1:8" x14ac:dyDescent="0.25">
      <c r="A9" s="65"/>
      <c r="B9" s="26" t="s">
        <v>201</v>
      </c>
      <c r="C9" s="27"/>
      <c r="D9" s="64"/>
      <c r="E9" s="24">
        <f>0.001*E6/(0.25*3.14*(0.0254*E8)^2)</f>
        <v>1.1199740564443872</v>
      </c>
      <c r="F9" s="69" t="s">
        <v>10</v>
      </c>
      <c r="G9" s="70">
        <f>0.001*G6/(0.25*3.14*(0.0254*G8)^2)</f>
        <v>1.1199740564443872</v>
      </c>
      <c r="H9" s="25">
        <f t="shared" si="0"/>
        <v>0</v>
      </c>
    </row>
    <row r="10" spans="1:8" x14ac:dyDescent="0.25">
      <c r="A10" s="270" t="s">
        <v>239</v>
      </c>
      <c r="B10" s="50" t="s">
        <v>212</v>
      </c>
      <c r="C10" s="27"/>
      <c r="D10" s="64"/>
      <c r="E10" s="24">
        <f>(10.672*E7*(0.001*E6/E5)^1.852)/(0.0254*E8)^4.871</f>
        <v>2.1491424359127483E-2</v>
      </c>
      <c r="F10" s="72" t="s">
        <v>50</v>
      </c>
      <c r="G10" s="70">
        <f>(10.672*G7*(0.001*G6/G5)^1.852)/(0.0254*G8)^4.871</f>
        <v>2.1491424359127483E-2</v>
      </c>
      <c r="H10" s="25">
        <f t="shared" si="0"/>
        <v>0</v>
      </c>
    </row>
    <row r="11" spans="1:8" x14ac:dyDescent="0.25">
      <c r="A11" s="65"/>
      <c r="B11" s="248" t="s">
        <v>210</v>
      </c>
      <c r="C11" s="62"/>
      <c r="D11" s="64"/>
      <c r="E11" s="249">
        <f>E9^2/19.6</f>
        <v>6.3997035056555893E-2</v>
      </c>
      <c r="F11" s="66" t="s">
        <v>50</v>
      </c>
      <c r="G11" s="250">
        <f>G9^2/19.6</f>
        <v>6.3997035056555893E-2</v>
      </c>
      <c r="H11" s="25">
        <f t="shared" si="0"/>
        <v>0</v>
      </c>
    </row>
    <row r="12" spans="1:8" x14ac:dyDescent="0.25">
      <c r="A12" s="65"/>
      <c r="B12" s="261" t="s">
        <v>213</v>
      </c>
      <c r="C12" s="262" t="s">
        <v>240</v>
      </c>
      <c r="D12" s="225" t="s">
        <v>215</v>
      </c>
      <c r="E12" s="305" t="s">
        <v>216</v>
      </c>
      <c r="F12" s="64"/>
      <c r="G12" s="305" t="s">
        <v>216</v>
      </c>
      <c r="H12" s="25"/>
    </row>
    <row r="13" spans="1:8" x14ac:dyDescent="0.25">
      <c r="A13" s="270" t="s">
        <v>241</v>
      </c>
      <c r="B13" s="248" t="s">
        <v>218</v>
      </c>
      <c r="C13" s="262">
        <v>0.9</v>
      </c>
      <c r="D13" s="225">
        <v>1</v>
      </c>
      <c r="E13" s="249">
        <f>C13*D13*E11</f>
        <v>5.7597331550900306E-2</v>
      </c>
      <c r="F13" s="64" t="s">
        <v>50</v>
      </c>
      <c r="G13" s="250">
        <f>C13*D13*G11</f>
        <v>5.7597331550900306E-2</v>
      </c>
      <c r="H13" s="25">
        <f t="shared" si="0"/>
        <v>0</v>
      </c>
    </row>
    <row r="14" spans="1:8" x14ac:dyDescent="0.25">
      <c r="A14" s="270" t="s">
        <v>241</v>
      </c>
      <c r="B14" s="306" t="s">
        <v>219</v>
      </c>
      <c r="C14" s="262">
        <v>1.8</v>
      </c>
      <c r="D14" s="225">
        <v>1</v>
      </c>
      <c r="E14" s="249">
        <f>C14*D14*E11</f>
        <v>0.11519466310180061</v>
      </c>
      <c r="F14" s="64" t="s">
        <v>50</v>
      </c>
      <c r="G14" s="250">
        <f>C14*D14*G11</f>
        <v>0.11519466310180061</v>
      </c>
      <c r="H14" s="25">
        <f t="shared" si="0"/>
        <v>0</v>
      </c>
    </row>
    <row r="15" spans="1:8" ht="15.75" x14ac:dyDescent="0.25">
      <c r="A15" s="65"/>
      <c r="B15" s="288" t="s">
        <v>267</v>
      </c>
      <c r="C15" s="289"/>
      <c r="D15" s="290" t="s">
        <v>237</v>
      </c>
      <c r="E15" s="291">
        <f>E24+E28/100</f>
        <v>2.9527157410765878E-2</v>
      </c>
      <c r="F15" s="292" t="s">
        <v>50</v>
      </c>
      <c r="G15" s="307">
        <f>G24+G28/100</f>
        <v>2.9527157410765878E-2</v>
      </c>
      <c r="H15" s="25">
        <f t="shared" si="0"/>
        <v>0</v>
      </c>
    </row>
    <row r="16" spans="1:8" ht="18.75" x14ac:dyDescent="0.35">
      <c r="A16" s="65"/>
      <c r="B16" s="28" t="s">
        <v>222</v>
      </c>
      <c r="C16" s="66" t="s">
        <v>269</v>
      </c>
      <c r="D16" s="66" t="s">
        <v>224</v>
      </c>
      <c r="E16" s="293">
        <v>150</v>
      </c>
      <c r="F16" s="294"/>
      <c r="G16" s="308">
        <v>150</v>
      </c>
      <c r="H16" s="25">
        <f t="shared" si="0"/>
        <v>0</v>
      </c>
    </row>
    <row r="17" spans="1:8" x14ac:dyDescent="0.25">
      <c r="A17" s="270" t="s">
        <v>196</v>
      </c>
      <c r="B17" s="68" t="s">
        <v>242</v>
      </c>
      <c r="C17" s="27"/>
      <c r="D17" s="64"/>
      <c r="E17" s="309">
        <f>'[1]Parrilla de Aireación '!E38</f>
        <v>9.0753845259310992</v>
      </c>
      <c r="F17" s="294" t="s">
        <v>15</v>
      </c>
      <c r="G17" s="310">
        <f>'[1]Parrilla de Aireación '!G38</f>
        <v>9.0753845259310992</v>
      </c>
      <c r="H17" s="25">
        <f t="shared" si="0"/>
        <v>0</v>
      </c>
    </row>
    <row r="18" spans="1:8" x14ac:dyDescent="0.25">
      <c r="A18" s="65"/>
      <c r="B18" s="312" t="s">
        <v>199</v>
      </c>
      <c r="C18" s="313"/>
      <c r="D18" s="243"/>
      <c r="E18" s="314">
        <v>150</v>
      </c>
      <c r="F18" s="299" t="s">
        <v>29</v>
      </c>
      <c r="G18" s="343">
        <v>150</v>
      </c>
      <c r="H18" s="25">
        <f t="shared" si="0"/>
        <v>0</v>
      </c>
    </row>
    <row r="19" spans="1:8" x14ac:dyDescent="0.25">
      <c r="A19" s="270"/>
      <c r="B19" s="50" t="s">
        <v>243</v>
      </c>
      <c r="C19" s="27"/>
      <c r="D19" s="64"/>
      <c r="E19" s="24">
        <f>'[1]Planta Pincta'!E37</f>
        <v>88.401244893649022</v>
      </c>
      <c r="F19" s="72" t="s">
        <v>13</v>
      </c>
      <c r="G19" s="25">
        <f>'[1]Planta Pincta'!G37</f>
        <v>88.401244893649022</v>
      </c>
      <c r="H19" s="25">
        <f t="shared" si="0"/>
        <v>0</v>
      </c>
    </row>
    <row r="20" spans="1:8" x14ac:dyDescent="0.25">
      <c r="A20" s="65"/>
      <c r="B20" s="248" t="s">
        <v>244</v>
      </c>
      <c r="C20" s="62"/>
      <c r="D20" s="64"/>
      <c r="E20" s="249">
        <f>E19/2</f>
        <v>44.200622446824511</v>
      </c>
      <c r="F20" s="66" t="s">
        <v>13</v>
      </c>
      <c r="G20" s="311">
        <f>G19/2</f>
        <v>44.200622446824511</v>
      </c>
      <c r="H20" s="25">
        <f t="shared" si="0"/>
        <v>0</v>
      </c>
    </row>
    <row r="21" spans="1:8" x14ac:dyDescent="0.25">
      <c r="A21" s="65"/>
      <c r="B21" s="312" t="s">
        <v>227</v>
      </c>
      <c r="C21" s="313"/>
      <c r="D21" s="243"/>
      <c r="E21" s="314">
        <v>20</v>
      </c>
      <c r="F21" s="299"/>
      <c r="G21" s="315">
        <v>20</v>
      </c>
      <c r="H21" s="25">
        <f t="shared" si="0"/>
        <v>0</v>
      </c>
    </row>
    <row r="22" spans="1:8" x14ac:dyDescent="0.25">
      <c r="A22" s="65"/>
      <c r="B22" s="26" t="s">
        <v>245</v>
      </c>
      <c r="C22" s="27"/>
      <c r="D22" s="64"/>
      <c r="E22" s="24">
        <f>E20/E21</f>
        <v>2.2100311223412255</v>
      </c>
      <c r="F22" s="69" t="s">
        <v>50</v>
      </c>
      <c r="G22" s="25">
        <f>G20/G21</f>
        <v>2.2100311223412255</v>
      </c>
      <c r="H22" s="25">
        <f t="shared" si="0"/>
        <v>0</v>
      </c>
    </row>
    <row r="23" spans="1:8" x14ac:dyDescent="0.25">
      <c r="A23" s="65"/>
      <c r="B23" s="50" t="s">
        <v>246</v>
      </c>
      <c r="C23" s="27"/>
      <c r="D23" s="64"/>
      <c r="E23" s="316">
        <f>E17/E21</f>
        <v>0.45376922629655497</v>
      </c>
      <c r="F23" s="72" t="s">
        <v>15</v>
      </c>
      <c r="G23" s="317">
        <f>G17/G21</f>
        <v>0.45376922629655497</v>
      </c>
      <c r="H23" s="25">
        <f t="shared" si="0"/>
        <v>0</v>
      </c>
    </row>
    <row r="24" spans="1:8" x14ac:dyDescent="0.25">
      <c r="A24" s="65"/>
      <c r="B24" s="248" t="s">
        <v>247</v>
      </c>
      <c r="C24" s="62"/>
      <c r="D24" s="64"/>
      <c r="E24" s="249">
        <f>SUM(E31:E60)</f>
        <v>2.8182854168913241E-2</v>
      </c>
      <c r="F24" s="66" t="s">
        <v>50</v>
      </c>
      <c r="G24" s="311">
        <f>SUM(G31:G60)</f>
        <v>2.8182854168913241E-2</v>
      </c>
      <c r="H24" s="25">
        <f t="shared" si="0"/>
        <v>0</v>
      </c>
    </row>
    <row r="25" spans="1:8" ht="17.25" x14ac:dyDescent="0.25">
      <c r="A25" s="65"/>
      <c r="B25" s="28" t="s">
        <v>248</v>
      </c>
      <c r="C25" s="66"/>
      <c r="D25" s="64"/>
      <c r="E25" s="267">
        <v>40</v>
      </c>
      <c r="F25" s="66" t="s">
        <v>249</v>
      </c>
      <c r="G25" s="318">
        <v>40</v>
      </c>
      <c r="H25" s="25">
        <f t="shared" si="0"/>
        <v>0</v>
      </c>
    </row>
    <row r="26" spans="1:8" x14ac:dyDescent="0.25">
      <c r="A26" s="65"/>
      <c r="B26" s="50" t="s">
        <v>250</v>
      </c>
      <c r="C26" s="27"/>
      <c r="D26" s="64"/>
      <c r="E26" s="316">
        <f>0.001*E23/(E22*E25/10000)</f>
        <v>5.1330637576706223E-2</v>
      </c>
      <c r="F26" s="72" t="s">
        <v>10</v>
      </c>
      <c r="G26" s="139">
        <f>0.001*G23/(G22*G25/10000)</f>
        <v>5.1330637576706223E-2</v>
      </c>
      <c r="H26" s="25">
        <f t="shared" si="0"/>
        <v>0</v>
      </c>
    </row>
    <row r="27" spans="1:8" x14ac:dyDescent="0.25">
      <c r="A27" s="65"/>
      <c r="B27" s="28" t="s">
        <v>251</v>
      </c>
      <c r="C27" s="66"/>
      <c r="D27" s="64"/>
      <c r="E27" s="267">
        <v>1</v>
      </c>
      <c r="F27" s="66"/>
      <c r="G27" s="269">
        <v>1</v>
      </c>
      <c r="H27" s="25">
        <f t="shared" si="0"/>
        <v>0</v>
      </c>
    </row>
    <row r="28" spans="1:8" x14ac:dyDescent="0.25">
      <c r="A28" s="65"/>
      <c r="B28" s="248" t="s">
        <v>252</v>
      </c>
      <c r="C28" s="62"/>
      <c r="D28" s="64"/>
      <c r="E28" s="249">
        <f>1000*E27*E26^2/19.6</f>
        <v>0.13443032418526352</v>
      </c>
      <c r="F28" s="66" t="s">
        <v>253</v>
      </c>
      <c r="G28" s="250">
        <f>1000*G27*G26^2/19.6</f>
        <v>0.13443032418526352</v>
      </c>
      <c r="H28" s="25">
        <f t="shared" si="0"/>
        <v>0</v>
      </c>
    </row>
    <row r="29" spans="1:8" x14ac:dyDescent="0.25">
      <c r="C29" s="319" t="s">
        <v>229</v>
      </c>
      <c r="D29" s="319" t="s">
        <v>254</v>
      </c>
      <c r="E29" s="320" t="s">
        <v>255</v>
      </c>
      <c r="G29" s="320" t="s">
        <v>255</v>
      </c>
    </row>
    <row r="30" spans="1:8" x14ac:dyDescent="0.25">
      <c r="C30" s="321"/>
      <c r="D30" s="321" t="s">
        <v>15</v>
      </c>
      <c r="E30" s="321" t="s">
        <v>50</v>
      </c>
      <c r="G30" s="321" t="s">
        <v>50</v>
      </c>
    </row>
    <row r="31" spans="1:8" x14ac:dyDescent="0.25">
      <c r="C31" s="275">
        <v>1</v>
      </c>
      <c r="D31" s="276">
        <f>E23</f>
        <v>0.45376922629655497</v>
      </c>
      <c r="E31" s="278">
        <f t="shared" ref="E31:E60" si="1">(10.672*$E$22*(0.001*D31/$E$16)^1.852)/(0.001*$E$18)^4.871</f>
        <v>1.4596245685508447E-5</v>
      </c>
      <c r="G31" s="278">
        <f>(10.672*$G$22*(0.001*D31/$E$16)^1.852)/(0.001*$G$18)^4.871</f>
        <v>1.4596245685508447E-5</v>
      </c>
    </row>
    <row r="32" spans="1:8" x14ac:dyDescent="0.25">
      <c r="C32" s="275">
        <f>C31+1</f>
        <v>2</v>
      </c>
      <c r="D32" s="276">
        <f t="shared" ref="D32:D60" si="2">IF(C32&gt;$E$21,0,D31+$E$23)</f>
        <v>0.90753845259310995</v>
      </c>
      <c r="E32" s="278">
        <f t="shared" si="1"/>
        <v>5.2692489397566881E-5</v>
      </c>
      <c r="G32" s="278">
        <f t="shared" ref="G32:G60" si="3">(10.672*$G$22*(0.001*D32/$E$16)^1.852)/(0.001*$G$18)^4.871</f>
        <v>5.2692489397566881E-5</v>
      </c>
    </row>
    <row r="33" spans="3:7" x14ac:dyDescent="0.25">
      <c r="C33" s="275">
        <f t="shared" ref="C33:C60" si="4">C32+1</f>
        <v>3</v>
      </c>
      <c r="D33" s="276">
        <f t="shared" si="2"/>
        <v>1.361307678889665</v>
      </c>
      <c r="E33" s="278">
        <f t="shared" si="1"/>
        <v>1.1165282825825798E-4</v>
      </c>
      <c r="G33" s="278">
        <f t="shared" si="3"/>
        <v>1.1165282825825798E-4</v>
      </c>
    </row>
    <row r="34" spans="3:7" x14ac:dyDescent="0.25">
      <c r="C34" s="275">
        <f t="shared" si="4"/>
        <v>4</v>
      </c>
      <c r="D34" s="276">
        <f t="shared" si="2"/>
        <v>1.8150769051862199</v>
      </c>
      <c r="E34" s="278">
        <f t="shared" si="1"/>
        <v>1.9022004005244186E-4</v>
      </c>
      <c r="G34" s="278">
        <f t="shared" si="3"/>
        <v>1.9022004005244186E-4</v>
      </c>
    </row>
    <row r="35" spans="3:7" x14ac:dyDescent="0.25">
      <c r="C35" s="275">
        <f t="shared" si="4"/>
        <v>5</v>
      </c>
      <c r="D35" s="276">
        <f t="shared" si="2"/>
        <v>2.2688461314827748</v>
      </c>
      <c r="E35" s="278">
        <f t="shared" si="1"/>
        <v>2.8756340200761341E-4</v>
      </c>
      <c r="G35" s="278">
        <f t="shared" si="3"/>
        <v>2.8756340200761341E-4</v>
      </c>
    </row>
    <row r="36" spans="3:7" x14ac:dyDescent="0.25">
      <c r="C36" s="275">
        <f t="shared" si="4"/>
        <v>6</v>
      </c>
      <c r="D36" s="276">
        <f t="shared" si="2"/>
        <v>2.7226153577793299</v>
      </c>
      <c r="E36" s="278">
        <f t="shared" si="1"/>
        <v>4.0306703490526212E-4</v>
      </c>
      <c r="G36" s="278">
        <f t="shared" si="3"/>
        <v>4.0306703490526212E-4</v>
      </c>
    </row>
    <row r="37" spans="3:7" x14ac:dyDescent="0.25">
      <c r="C37" s="275">
        <f t="shared" si="4"/>
        <v>7</v>
      </c>
      <c r="D37" s="276">
        <f t="shared" si="2"/>
        <v>3.1763845840758851</v>
      </c>
      <c r="E37" s="278">
        <f t="shared" si="1"/>
        <v>5.3624435687087656E-4</v>
      </c>
      <c r="G37" s="278">
        <f t="shared" si="3"/>
        <v>5.3624435687087656E-4</v>
      </c>
    </row>
    <row r="38" spans="3:7" x14ac:dyDescent="0.25">
      <c r="C38" s="275">
        <f t="shared" si="4"/>
        <v>8</v>
      </c>
      <c r="D38" s="276">
        <f t="shared" si="2"/>
        <v>3.6301538103724402</v>
      </c>
      <c r="E38" s="278">
        <f t="shared" si="1"/>
        <v>6.8669489810104748E-4</v>
      </c>
      <c r="G38" s="278">
        <f t="shared" si="3"/>
        <v>6.8669489810104748E-4</v>
      </c>
    </row>
    <row r="39" spans="3:7" x14ac:dyDescent="0.25">
      <c r="C39" s="275">
        <f t="shared" si="4"/>
        <v>9</v>
      </c>
      <c r="D39" s="276">
        <f t="shared" si="2"/>
        <v>4.0839230366689954</v>
      </c>
      <c r="E39" s="278">
        <f t="shared" si="1"/>
        <v>8.5407948911445303E-4</v>
      </c>
      <c r="G39" s="278">
        <f t="shared" si="3"/>
        <v>8.5407948911445303E-4</v>
      </c>
    </row>
    <row r="40" spans="3:7" x14ac:dyDescent="0.25">
      <c r="C40" s="275">
        <f t="shared" si="4"/>
        <v>10</v>
      </c>
      <c r="D40" s="276">
        <f t="shared" si="2"/>
        <v>4.5376922629655505</v>
      </c>
      <c r="E40" s="278">
        <f t="shared" si="1"/>
        <v>1.0381047180137684E-3</v>
      </c>
      <c r="G40" s="278">
        <f t="shared" si="3"/>
        <v>1.0381047180137684E-3</v>
      </c>
    </row>
    <row r="41" spans="3:7" x14ac:dyDescent="0.25">
      <c r="C41" s="275">
        <f t="shared" si="4"/>
        <v>11</v>
      </c>
      <c r="D41" s="276">
        <f t="shared" si="2"/>
        <v>4.9914614892621056</v>
      </c>
      <c r="E41" s="278">
        <f t="shared" si="1"/>
        <v>1.2385125672618119E-3</v>
      </c>
      <c r="G41" s="278">
        <f t="shared" si="3"/>
        <v>1.2385125672618119E-3</v>
      </c>
    </row>
    <row r="42" spans="3:7" x14ac:dyDescent="0.25">
      <c r="C42" s="275">
        <f t="shared" si="4"/>
        <v>12</v>
      </c>
      <c r="D42" s="276">
        <f t="shared" si="2"/>
        <v>5.4452307155586608</v>
      </c>
      <c r="E42" s="278">
        <f t="shared" si="1"/>
        <v>1.4550731688724992E-3</v>
      </c>
      <c r="G42" s="278">
        <f t="shared" si="3"/>
        <v>1.4550731688724992E-3</v>
      </c>
    </row>
    <row r="43" spans="3:7" x14ac:dyDescent="0.25">
      <c r="C43" s="275">
        <f t="shared" si="4"/>
        <v>13</v>
      </c>
      <c r="D43" s="276">
        <f t="shared" si="2"/>
        <v>5.8989999418552159</v>
      </c>
      <c r="E43" s="278">
        <f t="shared" si="1"/>
        <v>1.687579547403035E-3</v>
      </c>
      <c r="G43" s="278">
        <f t="shared" si="3"/>
        <v>1.687579547403035E-3</v>
      </c>
    </row>
    <row r="44" spans="3:7" x14ac:dyDescent="0.25">
      <c r="C44" s="275">
        <f t="shared" si="4"/>
        <v>14</v>
      </c>
      <c r="D44" s="276">
        <f t="shared" si="2"/>
        <v>6.3527691681517711</v>
      </c>
      <c r="E44" s="278">
        <f t="shared" si="1"/>
        <v>1.9358436886943548E-3</v>
      </c>
      <c r="G44" s="278">
        <f t="shared" si="3"/>
        <v>1.9358436886943548E-3</v>
      </c>
    </row>
    <row r="45" spans="3:7" x14ac:dyDescent="0.25">
      <c r="C45" s="275">
        <f t="shared" si="4"/>
        <v>15</v>
      </c>
      <c r="D45" s="276">
        <f t="shared" si="2"/>
        <v>6.8065383944483262</v>
      </c>
      <c r="E45" s="278">
        <f t="shared" si="1"/>
        <v>2.1996935259587709E-3</v>
      </c>
      <c r="G45" s="278">
        <f t="shared" si="3"/>
        <v>2.1996935259587709E-3</v>
      </c>
    </row>
    <row r="46" spans="3:7" x14ac:dyDescent="0.25">
      <c r="C46" s="275">
        <f t="shared" si="4"/>
        <v>16</v>
      </c>
      <c r="D46" s="276">
        <f t="shared" si="2"/>
        <v>7.2603076207448813</v>
      </c>
      <c r="E46" s="278">
        <f t="shared" si="1"/>
        <v>2.4789705803237366E-3</v>
      </c>
      <c r="G46" s="278">
        <f t="shared" si="3"/>
        <v>2.4789705803237366E-3</v>
      </c>
    </row>
    <row r="47" spans="3:7" x14ac:dyDescent="0.25">
      <c r="C47" s="275">
        <f t="shared" si="4"/>
        <v>17</v>
      </c>
      <c r="D47" s="276">
        <f t="shared" si="2"/>
        <v>7.7140768470414365</v>
      </c>
      <c r="E47" s="278">
        <f t="shared" si="1"/>
        <v>2.7735280804859581E-3</v>
      </c>
      <c r="G47" s="278">
        <f t="shared" si="3"/>
        <v>2.7735280804859581E-3</v>
      </c>
    </row>
    <row r="48" spans="3:7" x14ac:dyDescent="0.25">
      <c r="C48" s="275">
        <f t="shared" si="4"/>
        <v>18</v>
      </c>
      <c r="D48" s="276">
        <f t="shared" si="2"/>
        <v>8.1678460733379907</v>
      </c>
      <c r="E48" s="278">
        <f t="shared" si="1"/>
        <v>3.0832294409461366E-3</v>
      </c>
      <c r="G48" s="278">
        <f t="shared" si="3"/>
        <v>3.0832294409461366E-3</v>
      </c>
    </row>
    <row r="49" spans="3:7" x14ac:dyDescent="0.25">
      <c r="C49" s="275">
        <f t="shared" si="4"/>
        <v>19</v>
      </c>
      <c r="D49" s="276">
        <f t="shared" si="2"/>
        <v>8.621615299634545</v>
      </c>
      <c r="E49" s="278">
        <f t="shared" si="1"/>
        <v>3.4079470138017151E-3</v>
      </c>
      <c r="G49" s="278">
        <f t="shared" si="3"/>
        <v>3.4079470138017151E-3</v>
      </c>
    </row>
    <row r="50" spans="3:7" x14ac:dyDescent="0.25">
      <c r="C50" s="275">
        <f t="shared" si="4"/>
        <v>20</v>
      </c>
      <c r="D50" s="276">
        <f t="shared" si="2"/>
        <v>9.0753845259310992</v>
      </c>
      <c r="E50" s="278">
        <f t="shared" si="1"/>
        <v>3.7475610527584256E-3</v>
      </c>
      <c r="G50" s="278">
        <f t="shared" si="3"/>
        <v>3.7475610527584256E-3</v>
      </c>
    </row>
    <row r="51" spans="3:7" x14ac:dyDescent="0.25">
      <c r="C51" s="275">
        <f t="shared" si="4"/>
        <v>21</v>
      </c>
      <c r="D51" s="276">
        <f t="shared" si="2"/>
        <v>0</v>
      </c>
      <c r="E51" s="278">
        <f t="shared" si="1"/>
        <v>0</v>
      </c>
      <c r="G51" s="278">
        <f t="shared" si="3"/>
        <v>0</v>
      </c>
    </row>
    <row r="52" spans="3:7" x14ac:dyDescent="0.25">
      <c r="C52" s="275">
        <f t="shared" si="4"/>
        <v>22</v>
      </c>
      <c r="D52" s="276">
        <f t="shared" si="2"/>
        <v>0</v>
      </c>
      <c r="E52" s="278">
        <f t="shared" si="1"/>
        <v>0</v>
      </c>
      <c r="G52" s="278">
        <f t="shared" si="3"/>
        <v>0</v>
      </c>
    </row>
    <row r="53" spans="3:7" x14ac:dyDescent="0.25">
      <c r="C53" s="275">
        <f t="shared" si="4"/>
        <v>23</v>
      </c>
      <c r="D53" s="276">
        <f t="shared" si="2"/>
        <v>0</v>
      </c>
      <c r="E53" s="278">
        <f t="shared" si="1"/>
        <v>0</v>
      </c>
      <c r="G53" s="278">
        <f t="shared" si="3"/>
        <v>0</v>
      </c>
    </row>
    <row r="54" spans="3:7" x14ac:dyDescent="0.25">
      <c r="C54" s="275">
        <f t="shared" si="4"/>
        <v>24</v>
      </c>
      <c r="D54" s="276">
        <f t="shared" si="2"/>
        <v>0</v>
      </c>
      <c r="E54" s="278">
        <f t="shared" si="1"/>
        <v>0</v>
      </c>
      <c r="G54" s="278">
        <f t="shared" si="3"/>
        <v>0</v>
      </c>
    </row>
    <row r="55" spans="3:7" x14ac:dyDescent="0.25">
      <c r="C55" s="275">
        <f t="shared" si="4"/>
        <v>25</v>
      </c>
      <c r="D55" s="276">
        <f t="shared" si="2"/>
        <v>0</v>
      </c>
      <c r="E55" s="278">
        <f t="shared" si="1"/>
        <v>0</v>
      </c>
      <c r="G55" s="278">
        <f t="shared" si="3"/>
        <v>0</v>
      </c>
    </row>
    <row r="56" spans="3:7" x14ac:dyDescent="0.25">
      <c r="C56" s="275">
        <f t="shared" si="4"/>
        <v>26</v>
      </c>
      <c r="D56" s="276">
        <f t="shared" si="2"/>
        <v>0</v>
      </c>
      <c r="E56" s="278">
        <f t="shared" si="1"/>
        <v>0</v>
      </c>
      <c r="G56" s="278">
        <f t="shared" si="3"/>
        <v>0</v>
      </c>
    </row>
    <row r="57" spans="3:7" x14ac:dyDescent="0.25">
      <c r="C57" s="275">
        <f t="shared" si="4"/>
        <v>27</v>
      </c>
      <c r="D57" s="276">
        <f t="shared" si="2"/>
        <v>0</v>
      </c>
      <c r="E57" s="278">
        <f t="shared" si="1"/>
        <v>0</v>
      </c>
      <c r="G57" s="278">
        <f t="shared" si="3"/>
        <v>0</v>
      </c>
    </row>
    <row r="58" spans="3:7" x14ac:dyDescent="0.25">
      <c r="C58" s="275">
        <f t="shared" si="4"/>
        <v>28</v>
      </c>
      <c r="D58" s="276">
        <f t="shared" si="2"/>
        <v>0</v>
      </c>
      <c r="E58" s="278">
        <f t="shared" si="1"/>
        <v>0</v>
      </c>
      <c r="G58" s="278">
        <f t="shared" si="3"/>
        <v>0</v>
      </c>
    </row>
    <row r="59" spans="3:7" x14ac:dyDescent="0.25">
      <c r="C59" s="275">
        <f t="shared" si="4"/>
        <v>29</v>
      </c>
      <c r="D59" s="276">
        <f t="shared" si="2"/>
        <v>0</v>
      </c>
      <c r="E59" s="278">
        <f t="shared" si="1"/>
        <v>0</v>
      </c>
      <c r="G59" s="278">
        <f t="shared" si="3"/>
        <v>0</v>
      </c>
    </row>
    <row r="60" spans="3:7" x14ac:dyDescent="0.25">
      <c r="C60" s="275">
        <f t="shared" si="4"/>
        <v>30</v>
      </c>
      <c r="D60" s="276">
        <f t="shared" si="2"/>
        <v>0</v>
      </c>
      <c r="E60" s="278">
        <f t="shared" si="1"/>
        <v>0</v>
      </c>
      <c r="G60" s="278">
        <f t="shared" si="3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E2A53-717A-4CC9-A26A-C759050D3748}">
  <dimension ref="A1:M56"/>
  <sheetViews>
    <sheetView showGridLines="0" zoomScale="75" zoomScaleNormal="75" workbookViewId="0">
      <selection activeCell="A17" sqref="A17:A18"/>
    </sheetView>
  </sheetViews>
  <sheetFormatPr baseColWidth="10" defaultRowHeight="15" x14ac:dyDescent="0.25"/>
  <cols>
    <col min="1" max="1" width="28.7109375" customWidth="1"/>
    <col min="2" max="2" width="25.140625" customWidth="1"/>
    <col min="3" max="3" width="11.5703125" customWidth="1"/>
    <col min="4" max="4" width="16.85546875" customWidth="1"/>
    <col min="5" max="5" width="13.85546875" customWidth="1"/>
    <col min="6" max="6" width="9.85546875" customWidth="1"/>
    <col min="7" max="7" width="13.140625" customWidth="1"/>
    <col min="8" max="8" width="14.42578125" customWidth="1"/>
    <col min="9" max="9" width="24.28515625" customWidth="1"/>
    <col min="10" max="10" width="14.85546875" customWidth="1"/>
    <col min="11" max="11" width="7.28515625" customWidth="1"/>
    <col min="12" max="12" width="15" customWidth="1"/>
  </cols>
  <sheetData>
    <row r="1" spans="1:8" ht="32.25" customHeight="1" x14ac:dyDescent="0.25">
      <c r="A1" s="226" t="s">
        <v>5</v>
      </c>
      <c r="B1" s="227"/>
      <c r="C1" s="64"/>
      <c r="D1" s="64"/>
      <c r="E1" s="64"/>
      <c r="F1" s="212"/>
      <c r="G1" s="228" t="s">
        <v>6</v>
      </c>
      <c r="H1" s="16" t="s">
        <v>7</v>
      </c>
    </row>
    <row r="2" spans="1:8" ht="24.75" customHeight="1" x14ac:dyDescent="0.25">
      <c r="A2" s="65"/>
      <c r="B2" s="229" t="s">
        <v>256</v>
      </c>
      <c r="C2" s="230"/>
      <c r="D2" s="231" t="s">
        <v>194</v>
      </c>
      <c r="E2" s="232">
        <f>E13+E21</f>
        <v>0.37506129115913822</v>
      </c>
      <c r="F2" s="233" t="s">
        <v>50</v>
      </c>
      <c r="G2" s="234">
        <f>G13+G21</f>
        <v>0.37506129115913822</v>
      </c>
      <c r="H2" s="93">
        <f t="shared" ref="H2:H21" si="0">G2-E2</f>
        <v>0</v>
      </c>
    </row>
    <row r="3" spans="1:8" x14ac:dyDescent="0.25">
      <c r="A3" s="65"/>
      <c r="B3" s="235" t="s">
        <v>195</v>
      </c>
      <c r="C3" s="160"/>
      <c r="D3" s="236"/>
      <c r="E3" s="237"/>
      <c r="G3" s="238"/>
      <c r="H3" s="212"/>
    </row>
    <row r="4" spans="1:8" ht="18.75" x14ac:dyDescent="0.35">
      <c r="A4" s="227"/>
      <c r="B4" s="28" t="s">
        <v>222</v>
      </c>
      <c r="C4" s="66" t="s">
        <v>223</v>
      </c>
      <c r="D4" s="66" t="s">
        <v>238</v>
      </c>
      <c r="E4" s="267">
        <v>150</v>
      </c>
      <c r="F4" s="268"/>
      <c r="G4" s="318">
        <v>150</v>
      </c>
      <c r="H4" s="93">
        <f t="shared" si="0"/>
        <v>0</v>
      </c>
    </row>
    <row r="5" spans="1:8" x14ac:dyDescent="0.25">
      <c r="A5" s="239" t="s">
        <v>196</v>
      </c>
      <c r="B5" s="68" t="s">
        <v>197</v>
      </c>
      <c r="C5" s="27"/>
      <c r="D5" s="64"/>
      <c r="E5" s="240">
        <f>'[1]Parrilla de Aireación '!E38</f>
        <v>9.0753845259310992</v>
      </c>
      <c r="F5" s="69" t="s">
        <v>15</v>
      </c>
      <c r="G5" s="322">
        <f>'[1]Parrilla de Aireación '!G38</f>
        <v>9.0753845259310992</v>
      </c>
      <c r="H5" s="93">
        <f t="shared" si="0"/>
        <v>0</v>
      </c>
    </row>
    <row r="6" spans="1:8" x14ac:dyDescent="0.25">
      <c r="A6" s="215" t="s">
        <v>105</v>
      </c>
      <c r="B6" s="241" t="s">
        <v>198</v>
      </c>
      <c r="C6" s="242"/>
      <c r="D6" s="243"/>
      <c r="E6" s="244">
        <f>0.55+0.7+2</f>
        <v>3.25</v>
      </c>
      <c r="F6" s="245" t="s">
        <v>13</v>
      </c>
      <c r="G6" s="25">
        <f>0.55+0.7+2</f>
        <v>3.25</v>
      </c>
      <c r="H6" s="93">
        <f t="shared" si="0"/>
        <v>0</v>
      </c>
    </row>
    <row r="7" spans="1:8" x14ac:dyDescent="0.25">
      <c r="A7" s="227"/>
      <c r="B7" s="246" t="s">
        <v>199</v>
      </c>
      <c r="C7" s="242"/>
      <c r="D7" s="243"/>
      <c r="E7" s="244">
        <v>4</v>
      </c>
      <c r="F7" s="247" t="s">
        <v>200</v>
      </c>
      <c r="G7" s="25">
        <v>4</v>
      </c>
      <c r="H7" s="93">
        <f t="shared" si="0"/>
        <v>0</v>
      </c>
    </row>
    <row r="8" spans="1:8" x14ac:dyDescent="0.25">
      <c r="A8" s="227"/>
      <c r="B8" s="248" t="s">
        <v>201</v>
      </c>
      <c r="C8" s="62"/>
      <c r="D8" s="64"/>
      <c r="E8" s="249">
        <f>0.001*E5/(0.25*3.14*(0.0254*E7)^2)</f>
        <v>1.1199740564443872</v>
      </c>
      <c r="F8" s="66" t="s">
        <v>10</v>
      </c>
      <c r="G8" s="311">
        <f>0.001*G5/(0.25*3.14*(0.0254*G7)^2)</f>
        <v>1.1199740564443872</v>
      </c>
      <c r="H8" s="93">
        <f t="shared" si="0"/>
        <v>0</v>
      </c>
    </row>
    <row r="9" spans="1:8" x14ac:dyDescent="0.25">
      <c r="A9" s="239" t="s">
        <v>239</v>
      </c>
      <c r="B9" s="257" t="s">
        <v>212</v>
      </c>
      <c r="C9" s="258"/>
      <c r="D9" s="64"/>
      <c r="E9" s="41">
        <f>(10.672*E6*(0.001*E5/E4)^1.852)/(0.0254*E7)^4.871</f>
        <v>3.6761646930086496E-2</v>
      </c>
      <c r="F9" s="260" t="s">
        <v>50</v>
      </c>
      <c r="G9" s="307">
        <f>(10.672*G6*(0.001*G5/G4)^1.852)/(0.0254*G7)^4.871</f>
        <v>3.6761646930086496E-2</v>
      </c>
      <c r="H9" s="93">
        <f t="shared" si="0"/>
        <v>0</v>
      </c>
    </row>
    <row r="10" spans="1:8" x14ac:dyDescent="0.25">
      <c r="A10" s="227"/>
      <c r="B10" s="248" t="s">
        <v>210</v>
      </c>
      <c r="C10" s="62"/>
      <c r="E10" s="249">
        <f>E8^2/19.6</f>
        <v>6.3997035056555893E-2</v>
      </c>
      <c r="F10" s="66" t="s">
        <v>50</v>
      </c>
      <c r="G10" s="311">
        <f>G8^2/19.6</f>
        <v>6.3997035056555893E-2</v>
      </c>
      <c r="H10" s="93">
        <f t="shared" si="0"/>
        <v>0</v>
      </c>
    </row>
    <row r="11" spans="1:8" x14ac:dyDescent="0.25">
      <c r="A11" s="227"/>
      <c r="B11" s="261" t="s">
        <v>213</v>
      </c>
      <c r="C11" s="262" t="s">
        <v>240</v>
      </c>
      <c r="D11" s="262" t="s">
        <v>215</v>
      </c>
      <c r="E11" s="323" t="s">
        <v>216</v>
      </c>
      <c r="F11" s="66"/>
      <c r="G11" s="324" t="s">
        <v>216</v>
      </c>
      <c r="H11" s="93"/>
    </row>
    <row r="12" spans="1:8" x14ac:dyDescent="0.25">
      <c r="A12" s="239" t="s">
        <v>241</v>
      </c>
      <c r="B12" s="26" t="s">
        <v>218</v>
      </c>
      <c r="C12" s="264">
        <v>0.8</v>
      </c>
      <c r="D12" s="264">
        <v>3</v>
      </c>
      <c r="E12" s="325">
        <f>C12*D12*E10</f>
        <v>0.15359288413573416</v>
      </c>
      <c r="F12" s="66" t="s">
        <v>50</v>
      </c>
      <c r="G12" s="307">
        <f>C12*D12*$G$10</f>
        <v>0.15359288413573416</v>
      </c>
      <c r="H12" s="93">
        <f t="shared" si="0"/>
        <v>0</v>
      </c>
    </row>
    <row r="13" spans="1:8" x14ac:dyDescent="0.25">
      <c r="A13" s="239"/>
      <c r="B13" s="26" t="s">
        <v>220</v>
      </c>
      <c r="C13" s="264"/>
      <c r="D13" s="264"/>
      <c r="E13" s="325">
        <f>E9+E12</f>
        <v>0.19035453106582065</v>
      </c>
      <c r="F13" s="66" t="s">
        <v>50</v>
      </c>
      <c r="G13" s="307">
        <f>G9+G12</f>
        <v>0.19035453106582065</v>
      </c>
      <c r="H13" s="93">
        <f t="shared" si="0"/>
        <v>0</v>
      </c>
    </row>
    <row r="14" spans="1:8" ht="26.25" customHeight="1" x14ac:dyDescent="0.25">
      <c r="A14" s="227"/>
      <c r="B14" s="235" t="s">
        <v>221</v>
      </c>
      <c r="C14" s="160"/>
      <c r="D14" s="236"/>
      <c r="E14" s="237"/>
      <c r="F14" s="266"/>
      <c r="G14" s="238"/>
      <c r="H14" s="212"/>
    </row>
    <row r="15" spans="1:8" ht="18.75" x14ac:dyDescent="0.35">
      <c r="A15" s="227"/>
      <c r="B15" s="28" t="s">
        <v>222</v>
      </c>
      <c r="C15" s="66" t="s">
        <v>223</v>
      </c>
      <c r="D15" s="66" t="s">
        <v>224</v>
      </c>
      <c r="E15" s="267">
        <v>150</v>
      </c>
      <c r="F15" s="268"/>
      <c r="G15" s="318">
        <v>150</v>
      </c>
      <c r="H15" s="93">
        <f t="shared" si="0"/>
        <v>0</v>
      </c>
    </row>
    <row r="16" spans="1:8" x14ac:dyDescent="0.25">
      <c r="A16" s="65"/>
      <c r="B16" s="68" t="s">
        <v>225</v>
      </c>
      <c r="C16" s="27"/>
      <c r="D16" s="64"/>
      <c r="E16" s="240">
        <f>E5</f>
        <v>9.0753845259310992</v>
      </c>
      <c r="F16" s="69" t="s">
        <v>15</v>
      </c>
      <c r="G16" s="322">
        <f>G5</f>
        <v>9.0753845259310992</v>
      </c>
      <c r="H16" s="93">
        <f t="shared" si="0"/>
        <v>0</v>
      </c>
    </row>
    <row r="17" spans="1:13" x14ac:dyDescent="0.25">
      <c r="A17" s="270"/>
      <c r="B17" s="26" t="s">
        <v>227</v>
      </c>
      <c r="C17" s="27"/>
      <c r="D17" s="64"/>
      <c r="E17" s="24">
        <f>'[1]Planta Pincta'!E27</f>
        <v>14.066874148941503</v>
      </c>
      <c r="F17" s="69"/>
      <c r="G17" s="25">
        <f>'[1]Planta Pincta'!G27</f>
        <v>14.066874148941503</v>
      </c>
      <c r="H17" s="93">
        <f t="shared" si="0"/>
        <v>0</v>
      </c>
    </row>
    <row r="18" spans="1:13" x14ac:dyDescent="0.25">
      <c r="A18" s="270"/>
      <c r="B18" s="50" t="s">
        <v>245</v>
      </c>
      <c r="C18" s="27"/>
      <c r="D18" s="64"/>
      <c r="E18" s="24">
        <f>'[1]Planta Pincta'!E30</f>
        <v>3</v>
      </c>
      <c r="F18" s="72" t="s">
        <v>50</v>
      </c>
      <c r="G18" s="25">
        <f>'[1]Planta Pincta'!G30</f>
        <v>3</v>
      </c>
      <c r="H18" s="93">
        <f t="shared" si="0"/>
        <v>0</v>
      </c>
      <c r="J18" s="12"/>
      <c r="K18" s="12"/>
      <c r="L18" s="326"/>
    </row>
    <row r="19" spans="1:13" x14ac:dyDescent="0.25">
      <c r="A19" s="65"/>
      <c r="B19" s="312" t="s">
        <v>257</v>
      </c>
      <c r="C19" s="313"/>
      <c r="D19" s="243"/>
      <c r="E19" s="327">
        <v>0.2</v>
      </c>
      <c r="F19" s="299" t="s">
        <v>50</v>
      </c>
      <c r="G19" s="311">
        <v>0.2</v>
      </c>
      <c r="H19" s="93">
        <f t="shared" si="0"/>
        <v>0</v>
      </c>
      <c r="J19" s="12"/>
      <c r="K19" s="12"/>
      <c r="L19" s="326"/>
    </row>
    <row r="20" spans="1:13" x14ac:dyDescent="0.25">
      <c r="A20" s="65"/>
      <c r="B20" s="257" t="s">
        <v>258</v>
      </c>
      <c r="C20" s="258"/>
      <c r="D20" s="64"/>
      <c r="E20" s="41">
        <f>E19+(E17-1)*E18</f>
        <v>39.400622446824514</v>
      </c>
      <c r="F20" s="260" t="s">
        <v>50</v>
      </c>
      <c r="G20" s="307">
        <f>G19+(G17-1)*G18</f>
        <v>39.400622446824514</v>
      </c>
      <c r="H20" s="93">
        <f t="shared" si="0"/>
        <v>0</v>
      </c>
      <c r="J20" s="12"/>
      <c r="K20" s="12"/>
      <c r="L20" s="326"/>
    </row>
    <row r="21" spans="1:13" x14ac:dyDescent="0.25">
      <c r="A21" s="65"/>
      <c r="B21" s="248" t="s">
        <v>228</v>
      </c>
      <c r="C21" s="62"/>
      <c r="E21" s="249">
        <f>SUM(E24:E56)</f>
        <v>0.1847067600933176</v>
      </c>
      <c r="F21" s="66" t="s">
        <v>50</v>
      </c>
      <c r="G21" s="311">
        <f>SUM(G24:G56)</f>
        <v>0.1847067600933176</v>
      </c>
      <c r="H21" s="93">
        <f t="shared" si="0"/>
        <v>0</v>
      </c>
      <c r="J21" s="12"/>
      <c r="L21" s="271"/>
      <c r="M21" s="272"/>
    </row>
    <row r="22" spans="1:13" x14ac:dyDescent="0.25">
      <c r="B22" s="319" t="s">
        <v>229</v>
      </c>
      <c r="C22" s="319" t="s">
        <v>259</v>
      </c>
      <c r="D22" s="319" t="s">
        <v>230</v>
      </c>
      <c r="E22" s="319" t="s">
        <v>233</v>
      </c>
      <c r="F22" s="10"/>
      <c r="G22" s="319" t="s">
        <v>233</v>
      </c>
      <c r="J22" s="12"/>
      <c r="K22" s="12"/>
      <c r="L22" s="271"/>
      <c r="M22" s="272"/>
    </row>
    <row r="23" spans="1:13" x14ac:dyDescent="0.25">
      <c r="B23" s="321"/>
      <c r="C23" s="321" t="s">
        <v>200</v>
      </c>
      <c r="D23" s="321" t="s">
        <v>15</v>
      </c>
      <c r="E23" s="321" t="s">
        <v>50</v>
      </c>
      <c r="F23" s="10"/>
      <c r="G23" s="321" t="s">
        <v>50</v>
      </c>
      <c r="J23" s="12"/>
      <c r="K23" s="12"/>
      <c r="L23" s="271"/>
      <c r="M23" s="272"/>
    </row>
    <row r="24" spans="1:13" ht="15" customHeight="1" x14ac:dyDescent="0.25">
      <c r="B24" s="275">
        <v>1</v>
      </c>
      <c r="C24" s="275">
        <v>4</v>
      </c>
      <c r="D24" s="276">
        <f>E16</f>
        <v>9.0753845259310992</v>
      </c>
      <c r="E24" s="278">
        <f t="shared" ref="E24:E56" si="1">(10.672*$E$18*(0.001*D24/$E$15)^1.852)/(0.0254*C24)^4.871</f>
        <v>3.3933827935464449E-2</v>
      </c>
      <c r="F24" s="10"/>
      <c r="G24" s="278">
        <f>(10.672*$G$18*(0.001*D24/$G$15)^1.852)/(0.0254*C24)^4.871</f>
        <v>3.3933827935464449E-2</v>
      </c>
      <c r="J24" s="12"/>
      <c r="K24" s="12"/>
      <c r="L24" s="271"/>
      <c r="M24" s="272"/>
    </row>
    <row r="25" spans="1:13" ht="15" customHeight="1" x14ac:dyDescent="0.25">
      <c r="B25" s="275">
        <f>B24+1</f>
        <v>2</v>
      </c>
      <c r="C25" s="275">
        <v>4</v>
      </c>
      <c r="D25" s="276">
        <f t="shared" ref="D25:D56" si="2">MAX(0,D24-$E$16/$E$17)</f>
        <v>8.4302245259310986</v>
      </c>
      <c r="E25" s="278">
        <f t="shared" si="1"/>
        <v>2.9601989363106429E-2</v>
      </c>
      <c r="F25" s="10"/>
      <c r="G25" s="278">
        <f t="shared" ref="G25:G56" si="3">(10.672*$G$18*(0.001*D25/$G$15)^1.852)/(0.0254*C25)^4.871</f>
        <v>2.9601989363106429E-2</v>
      </c>
      <c r="J25" s="12"/>
      <c r="K25" s="12"/>
      <c r="L25" s="271"/>
      <c r="M25" s="272"/>
    </row>
    <row r="26" spans="1:13" ht="15" customHeight="1" x14ac:dyDescent="0.25">
      <c r="B26" s="275">
        <f t="shared" ref="B26:B56" si="4">B25+1</f>
        <v>3</v>
      </c>
      <c r="C26" s="275">
        <v>4</v>
      </c>
      <c r="D26" s="276">
        <f t="shared" si="2"/>
        <v>7.7850645259310989</v>
      </c>
      <c r="E26" s="278">
        <f t="shared" si="1"/>
        <v>2.5543736947242289E-2</v>
      </c>
      <c r="F26" s="10"/>
      <c r="G26" s="278">
        <f t="shared" si="3"/>
        <v>2.5543736947242289E-2</v>
      </c>
      <c r="J26" s="12"/>
      <c r="K26" s="12"/>
      <c r="L26" s="271"/>
      <c r="M26" s="272"/>
    </row>
    <row r="27" spans="1:13" ht="15" customHeight="1" x14ac:dyDescent="0.25">
      <c r="B27" s="275">
        <f t="shared" si="4"/>
        <v>4</v>
      </c>
      <c r="C27" s="275">
        <v>4</v>
      </c>
      <c r="D27" s="276">
        <f t="shared" si="2"/>
        <v>7.1399045259310991</v>
      </c>
      <c r="E27" s="278">
        <f t="shared" si="1"/>
        <v>2.1762317453363371E-2</v>
      </c>
      <c r="F27" s="10"/>
      <c r="G27" s="278">
        <f t="shared" si="3"/>
        <v>2.1762317453363371E-2</v>
      </c>
      <c r="J27" s="12"/>
      <c r="K27" s="12"/>
      <c r="L27" s="271"/>
      <c r="M27" s="272"/>
    </row>
    <row r="28" spans="1:13" ht="15" customHeight="1" x14ac:dyDescent="0.25">
      <c r="B28" s="275">
        <f t="shared" si="4"/>
        <v>5</v>
      </c>
      <c r="C28" s="275">
        <v>4</v>
      </c>
      <c r="D28" s="276">
        <f t="shared" si="2"/>
        <v>6.4947445259310994</v>
      </c>
      <c r="E28" s="278">
        <f t="shared" si="1"/>
        <v>1.8261303165007448E-2</v>
      </c>
      <c r="F28" s="328"/>
      <c r="G28" s="278">
        <f t="shared" si="3"/>
        <v>1.8261303165007448E-2</v>
      </c>
    </row>
    <row r="29" spans="1:13" ht="15" customHeight="1" x14ac:dyDescent="0.25">
      <c r="B29" s="275">
        <f t="shared" si="4"/>
        <v>6</v>
      </c>
      <c r="C29" s="275">
        <v>4</v>
      </c>
      <c r="D29" s="276">
        <f t="shared" si="2"/>
        <v>5.8495845259310997</v>
      </c>
      <c r="E29" s="278">
        <f t="shared" si="1"/>
        <v>1.5044658938359188E-2</v>
      </c>
      <c r="F29" s="328"/>
      <c r="G29" s="278">
        <f t="shared" si="3"/>
        <v>1.5044658938359188E-2</v>
      </c>
    </row>
    <row r="30" spans="1:13" ht="15" customHeight="1" x14ac:dyDescent="0.25">
      <c r="B30" s="275">
        <f t="shared" si="4"/>
        <v>7</v>
      </c>
      <c r="C30" s="275">
        <v>4</v>
      </c>
      <c r="D30" s="276">
        <f t="shared" si="2"/>
        <v>5.2044245259310999</v>
      </c>
      <c r="E30" s="278">
        <f t="shared" si="1"/>
        <v>1.2116831707628102E-2</v>
      </c>
      <c r="F30" s="10"/>
      <c r="G30" s="278">
        <f t="shared" si="3"/>
        <v>1.2116831707628102E-2</v>
      </c>
    </row>
    <row r="31" spans="1:13" ht="15" customHeight="1" x14ac:dyDescent="0.25">
      <c r="B31" s="275">
        <f t="shared" si="4"/>
        <v>8</v>
      </c>
      <c r="C31" s="275">
        <v>4</v>
      </c>
      <c r="D31" s="276">
        <f t="shared" si="2"/>
        <v>4.5592645259311002</v>
      </c>
      <c r="E31" s="278">
        <f t="shared" si="1"/>
        <v>9.4828735620817554E-3</v>
      </c>
      <c r="F31" s="10"/>
      <c r="G31" s="278">
        <f t="shared" si="3"/>
        <v>9.4828735620817554E-3</v>
      </c>
    </row>
    <row r="32" spans="1:13" ht="15" customHeight="1" x14ac:dyDescent="0.25">
      <c r="B32" s="275">
        <f t="shared" si="4"/>
        <v>9</v>
      </c>
      <c r="C32" s="275">
        <v>4</v>
      </c>
      <c r="D32" s="276">
        <f t="shared" si="2"/>
        <v>3.9141045259311005</v>
      </c>
      <c r="E32" s="278">
        <f t="shared" si="1"/>
        <v>7.148617313423665E-3</v>
      </c>
      <c r="F32" s="10"/>
      <c r="G32" s="278">
        <f t="shared" si="3"/>
        <v>7.148617313423665E-3</v>
      </c>
    </row>
    <row r="33" spans="2:7" ht="15" customHeight="1" x14ac:dyDescent="0.25">
      <c r="B33" s="275">
        <f t="shared" si="4"/>
        <v>10</v>
      </c>
      <c r="C33" s="275">
        <v>4</v>
      </c>
      <c r="D33" s="276">
        <f t="shared" si="2"/>
        <v>3.2689445259311007</v>
      </c>
      <c r="E33" s="278">
        <f t="shared" si="1"/>
        <v>5.1209388740354415E-3</v>
      </c>
      <c r="F33" s="10"/>
      <c r="G33" s="278">
        <f t="shared" si="3"/>
        <v>5.1209388740354415E-3</v>
      </c>
    </row>
    <row r="34" spans="2:7" ht="15" customHeight="1" x14ac:dyDescent="0.25">
      <c r="B34" s="275">
        <f t="shared" si="4"/>
        <v>11</v>
      </c>
      <c r="C34" s="275">
        <v>4</v>
      </c>
      <c r="D34" s="276">
        <f t="shared" si="2"/>
        <v>2.623784525931101</v>
      </c>
      <c r="E34" s="278">
        <f t="shared" si="1"/>
        <v>3.4081741046042319E-3</v>
      </c>
      <c r="F34" s="10"/>
      <c r="G34" s="278">
        <f t="shared" si="3"/>
        <v>3.4081741046042319E-3</v>
      </c>
    </row>
    <row r="35" spans="2:7" ht="15" customHeight="1" x14ac:dyDescent="0.25">
      <c r="B35" s="275">
        <f t="shared" si="4"/>
        <v>12</v>
      </c>
      <c r="C35" s="275">
        <v>4</v>
      </c>
      <c r="D35" s="276">
        <f t="shared" si="2"/>
        <v>1.9786245259311011</v>
      </c>
      <c r="E35" s="278">
        <f t="shared" si="1"/>
        <v>2.0208394097909503E-3</v>
      </c>
      <c r="F35" s="10"/>
      <c r="G35" s="278">
        <f t="shared" si="3"/>
        <v>2.0208394097909503E-3</v>
      </c>
    </row>
    <row r="36" spans="2:7" ht="15" customHeight="1" x14ac:dyDescent="0.25">
      <c r="B36" s="275">
        <f t="shared" si="4"/>
        <v>13</v>
      </c>
      <c r="C36" s="275">
        <v>4</v>
      </c>
      <c r="D36" s="276">
        <f t="shared" si="2"/>
        <v>1.3334645259311011</v>
      </c>
      <c r="E36" s="278">
        <f t="shared" si="1"/>
        <v>9.7304401197143085E-4</v>
      </c>
      <c r="F36" s="10"/>
      <c r="G36" s="278">
        <f t="shared" si="3"/>
        <v>9.7304401197143085E-4</v>
      </c>
    </row>
    <row r="37" spans="2:7" ht="15" customHeight="1" x14ac:dyDescent="0.25">
      <c r="B37" s="275">
        <f t="shared" si="4"/>
        <v>14</v>
      </c>
      <c r="C37" s="275">
        <v>4</v>
      </c>
      <c r="D37" s="276">
        <f t="shared" si="2"/>
        <v>0.68830452593110114</v>
      </c>
      <c r="E37" s="278">
        <f t="shared" si="1"/>
        <v>2.8591472723028919E-4</v>
      </c>
      <c r="F37" s="10"/>
      <c r="G37" s="278">
        <f t="shared" si="3"/>
        <v>2.8591472723028919E-4</v>
      </c>
    </row>
    <row r="38" spans="2:7" ht="15" customHeight="1" x14ac:dyDescent="0.25">
      <c r="B38" s="275">
        <f t="shared" si="4"/>
        <v>15</v>
      </c>
      <c r="C38" s="275">
        <v>4</v>
      </c>
      <c r="D38" s="276">
        <f t="shared" si="2"/>
        <v>4.3144525931101185E-2</v>
      </c>
      <c r="E38" s="278">
        <f t="shared" si="1"/>
        <v>1.6925800085468157E-6</v>
      </c>
      <c r="F38" s="10"/>
      <c r="G38" s="278">
        <f t="shared" si="3"/>
        <v>1.6925800085468157E-6</v>
      </c>
    </row>
    <row r="39" spans="2:7" ht="15" customHeight="1" x14ac:dyDescent="0.25">
      <c r="B39" s="275">
        <f t="shared" si="4"/>
        <v>16</v>
      </c>
      <c r="C39" s="275">
        <v>4</v>
      </c>
      <c r="D39" s="276">
        <f t="shared" si="2"/>
        <v>0</v>
      </c>
      <c r="E39" s="278">
        <f t="shared" si="1"/>
        <v>0</v>
      </c>
      <c r="G39" s="278">
        <f t="shared" si="3"/>
        <v>0</v>
      </c>
    </row>
    <row r="40" spans="2:7" ht="15" customHeight="1" x14ac:dyDescent="0.25">
      <c r="B40" s="275">
        <f t="shared" si="4"/>
        <v>17</v>
      </c>
      <c r="C40" s="275">
        <v>4</v>
      </c>
      <c r="D40" s="276">
        <f t="shared" si="2"/>
        <v>0</v>
      </c>
      <c r="E40" s="278">
        <f t="shared" si="1"/>
        <v>0</v>
      </c>
      <c r="G40" s="278">
        <f t="shared" si="3"/>
        <v>0</v>
      </c>
    </row>
    <row r="41" spans="2:7" ht="15" customHeight="1" x14ac:dyDescent="0.25">
      <c r="B41" s="275">
        <f t="shared" si="4"/>
        <v>18</v>
      </c>
      <c r="C41" s="275">
        <v>4</v>
      </c>
      <c r="D41" s="276">
        <f t="shared" si="2"/>
        <v>0</v>
      </c>
      <c r="E41" s="278">
        <f t="shared" si="1"/>
        <v>0</v>
      </c>
      <c r="G41" s="278">
        <f t="shared" si="3"/>
        <v>0</v>
      </c>
    </row>
    <row r="42" spans="2:7" ht="15" customHeight="1" x14ac:dyDescent="0.25">
      <c r="B42" s="275">
        <f t="shared" si="4"/>
        <v>19</v>
      </c>
      <c r="C42" s="275">
        <v>4</v>
      </c>
      <c r="D42" s="276">
        <f t="shared" si="2"/>
        <v>0</v>
      </c>
      <c r="E42" s="278">
        <f t="shared" si="1"/>
        <v>0</v>
      </c>
      <c r="G42" s="278">
        <f t="shared" si="3"/>
        <v>0</v>
      </c>
    </row>
    <row r="43" spans="2:7" ht="15" customHeight="1" x14ac:dyDescent="0.25">
      <c r="B43" s="275">
        <f t="shared" si="4"/>
        <v>20</v>
      </c>
      <c r="C43" s="275">
        <v>4</v>
      </c>
      <c r="D43" s="276">
        <f t="shared" si="2"/>
        <v>0</v>
      </c>
      <c r="E43" s="278">
        <f t="shared" si="1"/>
        <v>0</v>
      </c>
      <c r="G43" s="278">
        <f t="shared" si="3"/>
        <v>0</v>
      </c>
    </row>
    <row r="44" spans="2:7" x14ac:dyDescent="0.25">
      <c r="B44" s="275">
        <f t="shared" si="4"/>
        <v>21</v>
      </c>
      <c r="C44" s="275">
        <v>4</v>
      </c>
      <c r="D44" s="276">
        <f t="shared" si="2"/>
        <v>0</v>
      </c>
      <c r="E44" s="278">
        <f t="shared" si="1"/>
        <v>0</v>
      </c>
      <c r="G44" s="278">
        <f t="shared" si="3"/>
        <v>0</v>
      </c>
    </row>
    <row r="45" spans="2:7" x14ac:dyDescent="0.25">
      <c r="B45" s="275">
        <f t="shared" si="4"/>
        <v>22</v>
      </c>
      <c r="C45" s="275">
        <v>4</v>
      </c>
      <c r="D45" s="276">
        <f t="shared" si="2"/>
        <v>0</v>
      </c>
      <c r="E45" s="278">
        <f t="shared" si="1"/>
        <v>0</v>
      </c>
      <c r="G45" s="278">
        <f t="shared" si="3"/>
        <v>0</v>
      </c>
    </row>
    <row r="46" spans="2:7" x14ac:dyDescent="0.25">
      <c r="B46" s="275">
        <f t="shared" si="4"/>
        <v>23</v>
      </c>
      <c r="C46" s="275">
        <v>4</v>
      </c>
      <c r="D46" s="276">
        <f t="shared" si="2"/>
        <v>0</v>
      </c>
      <c r="E46" s="278">
        <f t="shared" si="1"/>
        <v>0</v>
      </c>
      <c r="G46" s="278">
        <f t="shared" si="3"/>
        <v>0</v>
      </c>
    </row>
    <row r="47" spans="2:7" x14ac:dyDescent="0.25">
      <c r="B47" s="275">
        <f t="shared" si="4"/>
        <v>24</v>
      </c>
      <c r="C47" s="275">
        <v>4</v>
      </c>
      <c r="D47" s="276">
        <f t="shared" si="2"/>
        <v>0</v>
      </c>
      <c r="E47" s="278">
        <f t="shared" si="1"/>
        <v>0</v>
      </c>
      <c r="G47" s="278">
        <f t="shared" si="3"/>
        <v>0</v>
      </c>
    </row>
    <row r="48" spans="2:7" x14ac:dyDescent="0.25">
      <c r="B48" s="275">
        <f t="shared" si="4"/>
        <v>25</v>
      </c>
      <c r="C48" s="275">
        <v>4</v>
      </c>
      <c r="D48" s="276">
        <f t="shared" si="2"/>
        <v>0</v>
      </c>
      <c r="E48" s="278">
        <f t="shared" si="1"/>
        <v>0</v>
      </c>
      <c r="G48" s="278">
        <f t="shared" si="3"/>
        <v>0</v>
      </c>
    </row>
    <row r="49" spans="2:7" x14ac:dyDescent="0.25">
      <c r="B49" s="275">
        <f t="shared" si="4"/>
        <v>26</v>
      </c>
      <c r="C49" s="275">
        <v>4</v>
      </c>
      <c r="D49" s="276">
        <f t="shared" si="2"/>
        <v>0</v>
      </c>
      <c r="E49" s="278">
        <f t="shared" si="1"/>
        <v>0</v>
      </c>
      <c r="G49" s="278">
        <f t="shared" si="3"/>
        <v>0</v>
      </c>
    </row>
    <row r="50" spans="2:7" x14ac:dyDescent="0.25">
      <c r="B50" s="275">
        <f t="shared" si="4"/>
        <v>27</v>
      </c>
      <c r="C50" s="275">
        <v>4</v>
      </c>
      <c r="D50" s="276">
        <f t="shared" si="2"/>
        <v>0</v>
      </c>
      <c r="E50" s="278">
        <f t="shared" si="1"/>
        <v>0</v>
      </c>
      <c r="G50" s="278">
        <f t="shared" si="3"/>
        <v>0</v>
      </c>
    </row>
    <row r="51" spans="2:7" x14ac:dyDescent="0.25">
      <c r="B51" s="275">
        <f t="shared" si="4"/>
        <v>28</v>
      </c>
      <c r="C51" s="275">
        <v>4</v>
      </c>
      <c r="D51" s="276">
        <f t="shared" si="2"/>
        <v>0</v>
      </c>
      <c r="E51" s="278">
        <f t="shared" si="1"/>
        <v>0</v>
      </c>
      <c r="G51" s="278">
        <f t="shared" si="3"/>
        <v>0</v>
      </c>
    </row>
    <row r="52" spans="2:7" x14ac:dyDescent="0.25">
      <c r="B52" s="275">
        <f t="shared" si="4"/>
        <v>29</v>
      </c>
      <c r="C52" s="275">
        <v>4</v>
      </c>
      <c r="D52" s="276">
        <f t="shared" si="2"/>
        <v>0</v>
      </c>
      <c r="E52" s="278">
        <f t="shared" si="1"/>
        <v>0</v>
      </c>
      <c r="G52" s="278">
        <f t="shared" si="3"/>
        <v>0</v>
      </c>
    </row>
    <row r="53" spans="2:7" x14ac:dyDescent="0.25">
      <c r="B53" s="275">
        <f t="shared" si="4"/>
        <v>30</v>
      </c>
      <c r="C53" s="275">
        <v>4</v>
      </c>
      <c r="D53" s="276">
        <f t="shared" si="2"/>
        <v>0</v>
      </c>
      <c r="E53" s="278">
        <f t="shared" si="1"/>
        <v>0</v>
      </c>
      <c r="G53" s="278">
        <f t="shared" si="3"/>
        <v>0</v>
      </c>
    </row>
    <row r="54" spans="2:7" x14ac:dyDescent="0.25">
      <c r="B54" s="275">
        <f t="shared" si="4"/>
        <v>31</v>
      </c>
      <c r="C54" s="275">
        <v>4</v>
      </c>
      <c r="D54" s="276">
        <f t="shared" si="2"/>
        <v>0</v>
      </c>
      <c r="E54" s="278">
        <f t="shared" si="1"/>
        <v>0</v>
      </c>
      <c r="G54" s="278">
        <f t="shared" si="3"/>
        <v>0</v>
      </c>
    </row>
    <row r="55" spans="2:7" x14ac:dyDescent="0.25">
      <c r="B55" s="275">
        <f t="shared" si="4"/>
        <v>32</v>
      </c>
      <c r="C55" s="275">
        <v>4</v>
      </c>
      <c r="D55" s="276">
        <f t="shared" si="2"/>
        <v>0</v>
      </c>
      <c r="E55" s="278">
        <f t="shared" si="1"/>
        <v>0</v>
      </c>
      <c r="G55" s="278">
        <f t="shared" si="3"/>
        <v>0</v>
      </c>
    </row>
    <row r="56" spans="2:7" x14ac:dyDescent="0.25">
      <c r="B56" s="275">
        <f t="shared" si="4"/>
        <v>33</v>
      </c>
      <c r="C56" s="275">
        <v>4</v>
      </c>
      <c r="D56" s="276">
        <f t="shared" si="2"/>
        <v>0</v>
      </c>
      <c r="E56" s="278">
        <f t="shared" si="1"/>
        <v>0</v>
      </c>
      <c r="G56" s="278">
        <f t="shared" si="3"/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051B4-0741-4FD2-B643-10FC26444E6F}">
  <dimension ref="B3:I48"/>
  <sheetViews>
    <sheetView showGridLines="0" zoomScale="75" zoomScaleNormal="75" workbookViewId="0">
      <selection activeCell="D4" sqref="D4:D5"/>
    </sheetView>
  </sheetViews>
  <sheetFormatPr baseColWidth="10" defaultRowHeight="15" x14ac:dyDescent="0.25"/>
  <cols>
    <col min="2" max="2" width="13.28515625" customWidth="1"/>
    <col min="3" max="3" width="13.42578125" customWidth="1"/>
    <col min="4" max="4" width="12.85546875" customWidth="1"/>
    <col min="5" max="5" width="13.85546875" style="83" customWidth="1"/>
    <col min="7" max="8" width="13" customWidth="1"/>
    <col min="9" max="9" width="13.28515625" customWidth="1"/>
  </cols>
  <sheetData>
    <row r="3" spans="2:9" ht="46.5" x14ac:dyDescent="0.25">
      <c r="B3" s="73" t="s">
        <v>82</v>
      </c>
      <c r="C3" s="73" t="s">
        <v>83</v>
      </c>
      <c r="D3" s="73" t="s">
        <v>84</v>
      </c>
      <c r="E3" s="73" t="s">
        <v>85</v>
      </c>
      <c r="F3" s="73" t="s">
        <v>86</v>
      </c>
      <c r="G3" s="407" t="s">
        <v>87</v>
      </c>
      <c r="H3" s="408"/>
      <c r="I3" s="409"/>
    </row>
    <row r="4" spans="2:9" x14ac:dyDescent="0.25">
      <c r="B4" s="410" t="s">
        <v>88</v>
      </c>
      <c r="C4" s="410" t="s">
        <v>89</v>
      </c>
      <c r="D4" s="410" t="s">
        <v>164</v>
      </c>
      <c r="E4" s="410" t="s">
        <v>90</v>
      </c>
      <c r="F4" s="410" t="s">
        <v>39</v>
      </c>
      <c r="G4" s="407" t="s">
        <v>91</v>
      </c>
      <c r="H4" s="412"/>
      <c r="I4" s="409"/>
    </row>
    <row r="5" spans="2:9" x14ac:dyDescent="0.25">
      <c r="B5" s="411"/>
      <c r="C5" s="411"/>
      <c r="D5" s="411"/>
      <c r="E5" s="411"/>
      <c r="F5" s="411"/>
      <c r="G5" s="74">
        <v>0</v>
      </c>
      <c r="H5" s="74">
        <v>5</v>
      </c>
      <c r="I5" s="74">
        <v>10</v>
      </c>
    </row>
    <row r="6" spans="2:9" x14ac:dyDescent="0.25">
      <c r="B6" s="75">
        <v>0</v>
      </c>
      <c r="C6" s="76">
        <v>999.82</v>
      </c>
      <c r="D6" s="77">
        <v>1.792E-3</v>
      </c>
      <c r="E6" s="78">
        <f>D6/C6</f>
        <v>1.7923226180712527E-6</v>
      </c>
      <c r="F6" s="76">
        <v>0.61099999999999999</v>
      </c>
      <c r="G6" s="76">
        <v>14.6</v>
      </c>
      <c r="H6" s="76">
        <v>14.11</v>
      </c>
      <c r="I6" s="76">
        <v>13.64</v>
      </c>
    </row>
    <row r="7" spans="2:9" x14ac:dyDescent="0.25">
      <c r="B7" s="75">
        <f>B6+1</f>
        <v>1</v>
      </c>
      <c r="C7" s="76">
        <v>999.89</v>
      </c>
      <c r="D7" s="77">
        <v>1.7309999999999999E-3</v>
      </c>
      <c r="E7" s="78">
        <f t="shared" ref="E7:E46" si="0">D7/C7</f>
        <v>1.7311904309474041E-6</v>
      </c>
      <c r="F7" s="76">
        <v>0.65700000000000003</v>
      </c>
      <c r="G7" s="76">
        <v>14.2</v>
      </c>
      <c r="H7" s="76">
        <v>13.73</v>
      </c>
      <c r="I7" s="76">
        <v>13.27</v>
      </c>
    </row>
    <row r="8" spans="2:9" x14ac:dyDescent="0.25">
      <c r="B8" s="75">
        <f t="shared" ref="B8:B46" si="1">B7+1</f>
        <v>2</v>
      </c>
      <c r="C8" s="76">
        <v>999.94</v>
      </c>
      <c r="D8" s="77">
        <v>1.6739999999999999E-3</v>
      </c>
      <c r="E8" s="78">
        <f t="shared" si="0"/>
        <v>1.6741004460267615E-6</v>
      </c>
      <c r="F8" s="76">
        <v>0.70499999999999996</v>
      </c>
      <c r="G8" s="76">
        <v>13.81</v>
      </c>
      <c r="H8" s="76">
        <v>13.36</v>
      </c>
      <c r="I8" s="76">
        <v>12.91</v>
      </c>
    </row>
    <row r="9" spans="2:9" x14ac:dyDescent="0.25">
      <c r="B9" s="75">
        <f t="shared" si="1"/>
        <v>3</v>
      </c>
      <c r="C9" s="76">
        <v>999.98</v>
      </c>
      <c r="D9" s="77">
        <v>1.6199999999999999E-3</v>
      </c>
      <c r="E9" s="78">
        <f t="shared" si="0"/>
        <v>1.6200324006480128E-6</v>
      </c>
      <c r="F9" s="76">
        <v>0.75700000000000001</v>
      </c>
      <c r="G9" s="76">
        <v>13.45</v>
      </c>
      <c r="H9" s="76">
        <v>13</v>
      </c>
      <c r="I9" s="76">
        <v>12.58</v>
      </c>
    </row>
    <row r="10" spans="2:9" x14ac:dyDescent="0.25">
      <c r="B10" s="75">
        <f t="shared" si="1"/>
        <v>4</v>
      </c>
      <c r="C10" s="76">
        <v>1000</v>
      </c>
      <c r="D10" s="77">
        <v>1.5690000000000001E-3</v>
      </c>
      <c r="E10" s="78">
        <f t="shared" si="0"/>
        <v>1.5690000000000001E-6</v>
      </c>
      <c r="F10" s="76">
        <v>0.81299999999999994</v>
      </c>
      <c r="G10" s="76">
        <v>13.09</v>
      </c>
      <c r="H10" s="76">
        <v>12.67</v>
      </c>
      <c r="I10" s="76">
        <v>12.25</v>
      </c>
    </row>
    <row r="11" spans="2:9" x14ac:dyDescent="0.25">
      <c r="B11" s="75">
        <f t="shared" si="1"/>
        <v>5</v>
      </c>
      <c r="C11" s="76">
        <v>1000</v>
      </c>
      <c r="D11" s="77">
        <v>1.5200000000000001E-3</v>
      </c>
      <c r="E11" s="78">
        <f t="shared" si="0"/>
        <v>1.5200000000000001E-6</v>
      </c>
      <c r="F11" s="76">
        <v>0.872</v>
      </c>
      <c r="G11" s="76">
        <v>12.76</v>
      </c>
      <c r="H11" s="76">
        <v>12.34</v>
      </c>
      <c r="I11" s="76">
        <v>11.94</v>
      </c>
    </row>
    <row r="12" spans="2:9" x14ac:dyDescent="0.25">
      <c r="B12" s="75">
        <f t="shared" si="1"/>
        <v>6</v>
      </c>
      <c r="C12" s="76">
        <v>999.99</v>
      </c>
      <c r="D12" s="77">
        <v>1.4729999999999999E-3</v>
      </c>
      <c r="E12" s="78">
        <f t="shared" si="0"/>
        <v>1.4730147301473013E-6</v>
      </c>
      <c r="F12" s="76">
        <v>0.93500000000000005</v>
      </c>
      <c r="G12" s="76">
        <v>12.44</v>
      </c>
      <c r="H12" s="76">
        <v>12.04</v>
      </c>
      <c r="I12" s="76">
        <v>11.65</v>
      </c>
    </row>
    <row r="13" spans="2:9" x14ac:dyDescent="0.25">
      <c r="B13" s="75">
        <f t="shared" si="1"/>
        <v>7</v>
      </c>
      <c r="C13" s="76">
        <v>999.96</v>
      </c>
      <c r="D13" s="77">
        <v>1.4289999999999999E-3</v>
      </c>
      <c r="E13" s="78">
        <f t="shared" si="0"/>
        <v>1.4290571622864914E-6</v>
      </c>
      <c r="F13" s="76">
        <v>1.0009999999999999</v>
      </c>
      <c r="G13" s="76">
        <v>12.13</v>
      </c>
      <c r="H13" s="76">
        <v>11.74</v>
      </c>
      <c r="I13" s="76">
        <v>11.37</v>
      </c>
    </row>
    <row r="14" spans="2:9" x14ac:dyDescent="0.25">
      <c r="B14" s="75">
        <f t="shared" si="1"/>
        <v>8</v>
      </c>
      <c r="C14" s="76">
        <v>999.91</v>
      </c>
      <c r="D14" s="77">
        <v>1.3860000000000001E-3</v>
      </c>
      <c r="E14" s="78">
        <f t="shared" si="0"/>
        <v>1.3861247512276105E-6</v>
      </c>
      <c r="F14" s="76">
        <v>1.0720000000000001</v>
      </c>
      <c r="G14" s="76">
        <v>11.83</v>
      </c>
      <c r="H14" s="76">
        <v>11.46</v>
      </c>
      <c r="I14" s="76">
        <v>11.09</v>
      </c>
    </row>
    <row r="15" spans="2:9" x14ac:dyDescent="0.25">
      <c r="B15" s="75">
        <f t="shared" si="1"/>
        <v>9</v>
      </c>
      <c r="C15" s="76">
        <v>999.85</v>
      </c>
      <c r="D15" s="77">
        <v>1.346E-3</v>
      </c>
      <c r="E15" s="78">
        <f t="shared" si="0"/>
        <v>1.3462019302895433E-6</v>
      </c>
      <c r="F15" s="76">
        <v>1.147</v>
      </c>
      <c r="G15" s="76">
        <v>11.55</v>
      </c>
      <c r="H15" s="76">
        <v>11.19</v>
      </c>
      <c r="I15" s="76">
        <v>10.83</v>
      </c>
    </row>
    <row r="16" spans="2:9" x14ac:dyDescent="0.25">
      <c r="B16" s="75">
        <f t="shared" si="1"/>
        <v>10</v>
      </c>
      <c r="C16" s="76">
        <v>999.77</v>
      </c>
      <c r="D16" s="77">
        <v>1.3079999999999999E-3</v>
      </c>
      <c r="E16" s="78">
        <f t="shared" si="0"/>
        <v>1.3083009092091181E-6</v>
      </c>
      <c r="F16" s="76">
        <v>1.2270000000000001</v>
      </c>
      <c r="G16" s="76">
        <v>11.28</v>
      </c>
      <c r="H16" s="76">
        <v>10.92</v>
      </c>
      <c r="I16" s="76">
        <v>10.58</v>
      </c>
    </row>
    <row r="17" spans="2:9" x14ac:dyDescent="0.25">
      <c r="B17" s="75">
        <f t="shared" si="1"/>
        <v>11</v>
      </c>
      <c r="C17" s="76">
        <v>999.68</v>
      </c>
      <c r="D17" s="77">
        <v>1.271E-3</v>
      </c>
      <c r="E17" s="78">
        <f t="shared" si="0"/>
        <v>1.2714068501920614E-6</v>
      </c>
      <c r="F17" s="76">
        <v>1.3120000000000001</v>
      </c>
      <c r="G17" s="76">
        <v>11.02</v>
      </c>
      <c r="H17" s="76">
        <v>10.67</v>
      </c>
      <c r="I17" s="76">
        <v>10.34</v>
      </c>
    </row>
    <row r="18" spans="2:9" x14ac:dyDescent="0.25">
      <c r="B18" s="75">
        <f t="shared" si="1"/>
        <v>12</v>
      </c>
      <c r="C18" s="76">
        <v>999.58</v>
      </c>
      <c r="D18" s="77">
        <v>1.2359999999999999E-3</v>
      </c>
      <c r="E18" s="78">
        <f t="shared" si="0"/>
        <v>1.2365193381220111E-6</v>
      </c>
      <c r="F18" s="76">
        <v>1.4019999999999999</v>
      </c>
      <c r="G18" s="76">
        <v>10.77</v>
      </c>
      <c r="H18" s="76">
        <v>10.43</v>
      </c>
      <c r="I18" s="76">
        <v>10.11</v>
      </c>
    </row>
    <row r="19" spans="2:9" x14ac:dyDescent="0.25">
      <c r="B19" s="75">
        <f t="shared" si="1"/>
        <v>13</v>
      </c>
      <c r="C19" s="76">
        <v>999.46</v>
      </c>
      <c r="D19" s="77">
        <v>1.2019999999999999E-3</v>
      </c>
      <c r="E19" s="78">
        <f t="shared" si="0"/>
        <v>1.2026494306925738E-6</v>
      </c>
      <c r="F19" s="76">
        <v>1.4970000000000001</v>
      </c>
      <c r="G19" s="76">
        <v>10.53</v>
      </c>
      <c r="H19" s="76">
        <v>10.199999999999999</v>
      </c>
      <c r="I19" s="76">
        <v>9.89</v>
      </c>
    </row>
    <row r="20" spans="2:9" x14ac:dyDescent="0.25">
      <c r="B20" s="75">
        <f t="shared" si="1"/>
        <v>14</v>
      </c>
      <c r="C20" s="76">
        <v>999.33</v>
      </c>
      <c r="D20" s="77">
        <v>1.17E-3</v>
      </c>
      <c r="E20" s="78">
        <f t="shared" si="0"/>
        <v>1.1707844255651285E-6</v>
      </c>
      <c r="F20" s="76">
        <v>1.597</v>
      </c>
      <c r="G20" s="76">
        <v>10.29</v>
      </c>
      <c r="H20" s="76">
        <v>9.98</v>
      </c>
      <c r="I20" s="76">
        <v>9.68</v>
      </c>
    </row>
    <row r="21" spans="2:9" x14ac:dyDescent="0.25">
      <c r="B21" s="75">
        <f t="shared" si="1"/>
        <v>15</v>
      </c>
      <c r="C21" s="76">
        <v>999.19</v>
      </c>
      <c r="D21" s="77">
        <v>1.139E-3</v>
      </c>
      <c r="E21" s="78">
        <f t="shared" si="0"/>
        <v>1.1399233379037019E-6</v>
      </c>
      <c r="F21" s="76">
        <v>1.704</v>
      </c>
      <c r="G21" s="76">
        <v>10.07</v>
      </c>
      <c r="H21" s="76">
        <v>9.77</v>
      </c>
      <c r="I21" s="76">
        <v>9.4700000000000006</v>
      </c>
    </row>
    <row r="22" spans="2:9" x14ac:dyDescent="0.25">
      <c r="B22" s="75">
        <f t="shared" si="1"/>
        <v>16</v>
      </c>
      <c r="C22" s="76">
        <v>999.03</v>
      </c>
      <c r="D22" s="77">
        <v>1.109E-3</v>
      </c>
      <c r="E22" s="78">
        <f t="shared" si="0"/>
        <v>1.110076774471237E-6</v>
      </c>
      <c r="F22" s="76">
        <v>1.8169999999999999</v>
      </c>
      <c r="G22" s="76">
        <v>9.86</v>
      </c>
      <c r="H22" s="76">
        <v>9.56</v>
      </c>
      <c r="I22" s="76">
        <v>9.2799999999999994</v>
      </c>
    </row>
    <row r="23" spans="2:9" x14ac:dyDescent="0.25">
      <c r="B23" s="75">
        <f t="shared" si="1"/>
        <v>17</v>
      </c>
      <c r="C23" s="76">
        <v>998.86</v>
      </c>
      <c r="D23" s="77">
        <v>1.0809999999999999E-3</v>
      </c>
      <c r="E23" s="78">
        <f t="shared" si="0"/>
        <v>1.0822337464709768E-6</v>
      </c>
      <c r="F23" s="76">
        <v>1.9359999999999999</v>
      </c>
      <c r="G23" s="76">
        <v>9.65</v>
      </c>
      <c r="H23" s="76">
        <v>9.36</v>
      </c>
      <c r="I23" s="76">
        <v>9.09</v>
      </c>
    </row>
    <row r="24" spans="2:9" x14ac:dyDescent="0.25">
      <c r="B24" s="75">
        <f t="shared" si="1"/>
        <v>18</v>
      </c>
      <c r="C24" s="76">
        <v>998.68</v>
      </c>
      <c r="D24" s="77">
        <v>1.054E-3</v>
      </c>
      <c r="E24" s="78">
        <f t="shared" si="0"/>
        <v>1.0553931189169705E-6</v>
      </c>
      <c r="F24" s="76">
        <v>2.0630000000000002</v>
      </c>
      <c r="G24" s="76">
        <v>9.4499999999999993</v>
      </c>
      <c r="H24" s="76">
        <v>9.17</v>
      </c>
      <c r="I24" s="76">
        <v>8.9</v>
      </c>
    </row>
    <row r="25" spans="2:9" x14ac:dyDescent="0.25">
      <c r="B25" s="75">
        <f t="shared" si="1"/>
        <v>19</v>
      </c>
      <c r="C25" s="76">
        <v>998.49</v>
      </c>
      <c r="D25" s="77">
        <v>1.0280000000000001E-3</v>
      </c>
      <c r="E25" s="78">
        <f t="shared" si="0"/>
        <v>1.0295546274875061E-6</v>
      </c>
      <c r="F25" s="76">
        <v>2.1960000000000002</v>
      </c>
      <c r="G25" s="76">
        <v>9.26</v>
      </c>
      <c r="H25" s="76">
        <v>8.99</v>
      </c>
      <c r="I25" s="76">
        <v>8.73</v>
      </c>
    </row>
    <row r="26" spans="2:9" x14ac:dyDescent="0.25">
      <c r="B26" s="75">
        <f t="shared" si="1"/>
        <v>20</v>
      </c>
      <c r="C26" s="76">
        <v>998.29</v>
      </c>
      <c r="D26" s="77">
        <v>1.003E-3</v>
      </c>
      <c r="E26" s="78">
        <f t="shared" si="0"/>
        <v>1.0047180678961023E-6</v>
      </c>
      <c r="F26" s="76">
        <v>2.3370000000000002</v>
      </c>
      <c r="G26" s="76">
        <v>9.08</v>
      </c>
      <c r="H26" s="76">
        <v>8.81</v>
      </c>
      <c r="I26" s="76">
        <v>8.56</v>
      </c>
    </row>
    <row r="27" spans="2:9" x14ac:dyDescent="0.25">
      <c r="B27" s="75">
        <f t="shared" si="1"/>
        <v>21</v>
      </c>
      <c r="C27" s="76">
        <v>998.08</v>
      </c>
      <c r="D27" s="77">
        <v>9.7900000000000005E-4</v>
      </c>
      <c r="E27" s="78">
        <f t="shared" si="0"/>
        <v>9.8088329592818217E-7</v>
      </c>
      <c r="F27" s="76">
        <v>2.4860000000000002</v>
      </c>
      <c r="G27" s="76">
        <v>8.9</v>
      </c>
      <c r="H27" s="76">
        <v>8.64</v>
      </c>
      <c r="I27" s="76">
        <v>8.39</v>
      </c>
    </row>
    <row r="28" spans="2:9" x14ac:dyDescent="0.25">
      <c r="B28" s="75">
        <f t="shared" si="1"/>
        <v>22</v>
      </c>
      <c r="C28" s="76">
        <v>997.86</v>
      </c>
      <c r="D28" s="77">
        <v>9.5500000000000001E-4</v>
      </c>
      <c r="E28" s="78">
        <f t="shared" si="0"/>
        <v>9.5704808289740053E-7</v>
      </c>
      <c r="F28" s="76">
        <v>2.6419999999999999</v>
      </c>
      <c r="G28" s="76">
        <v>8.73</v>
      </c>
      <c r="H28" s="76">
        <v>8.48</v>
      </c>
      <c r="I28" s="76">
        <v>8.23</v>
      </c>
    </row>
    <row r="29" spans="2:9" x14ac:dyDescent="0.25">
      <c r="B29" s="75">
        <f t="shared" si="1"/>
        <v>23</v>
      </c>
      <c r="C29" s="76">
        <v>997.62</v>
      </c>
      <c r="D29" s="77">
        <v>9.3300000000000002E-4</v>
      </c>
      <c r="E29" s="78">
        <f t="shared" si="0"/>
        <v>9.3522583749323393E-7</v>
      </c>
      <c r="F29" s="76">
        <v>2.8079999999999998</v>
      </c>
      <c r="G29" s="76">
        <v>8.56</v>
      </c>
      <c r="H29" s="76">
        <v>8.32</v>
      </c>
      <c r="I29" s="76">
        <v>8.08</v>
      </c>
    </row>
    <row r="30" spans="2:9" x14ac:dyDescent="0.25">
      <c r="B30" s="75">
        <f t="shared" si="1"/>
        <v>24</v>
      </c>
      <c r="C30" s="76">
        <v>997.38</v>
      </c>
      <c r="D30" s="77">
        <v>9.1100000000000003E-4</v>
      </c>
      <c r="E30" s="78">
        <f t="shared" si="0"/>
        <v>9.1339308989552636E-7</v>
      </c>
      <c r="F30" s="76">
        <v>2.9820000000000002</v>
      </c>
      <c r="G30" s="76">
        <v>8.4</v>
      </c>
      <c r="H30" s="76">
        <v>8.16</v>
      </c>
      <c r="I30" s="76">
        <v>7.93</v>
      </c>
    </row>
    <row r="31" spans="2:9" x14ac:dyDescent="0.25">
      <c r="B31" s="75">
        <f t="shared" si="1"/>
        <v>25</v>
      </c>
      <c r="C31" s="76">
        <v>997.13</v>
      </c>
      <c r="D31" s="77">
        <v>8.9099999999999997E-4</v>
      </c>
      <c r="E31" s="78">
        <f t="shared" si="0"/>
        <v>8.9356453020167885E-7</v>
      </c>
      <c r="F31" s="76">
        <v>3.1659999999999999</v>
      </c>
      <c r="G31" s="76">
        <v>8.24</v>
      </c>
      <c r="H31" s="76">
        <v>8.01</v>
      </c>
      <c r="I31" s="76">
        <v>7.79</v>
      </c>
    </row>
    <row r="32" spans="2:9" x14ac:dyDescent="0.25">
      <c r="B32" s="75">
        <f t="shared" si="1"/>
        <v>26</v>
      </c>
      <c r="C32" s="76">
        <v>996.86</v>
      </c>
      <c r="D32" s="77">
        <v>8.7100000000000003E-4</v>
      </c>
      <c r="E32" s="78">
        <f t="shared" si="0"/>
        <v>8.7374355476195253E-7</v>
      </c>
      <c r="F32" s="76">
        <v>3.36</v>
      </c>
      <c r="G32" s="76">
        <v>8.09</v>
      </c>
      <c r="H32" s="76">
        <v>7.87</v>
      </c>
      <c r="I32" s="76">
        <v>7.65</v>
      </c>
    </row>
    <row r="33" spans="2:9" x14ac:dyDescent="0.25">
      <c r="B33" s="75">
        <f t="shared" si="1"/>
        <v>27</v>
      </c>
      <c r="C33" s="76">
        <v>996.59</v>
      </c>
      <c r="D33" s="77">
        <v>8.52E-4</v>
      </c>
      <c r="E33" s="78">
        <f t="shared" si="0"/>
        <v>8.5491526104014687E-7</v>
      </c>
      <c r="F33" s="76">
        <v>3.5640000000000001</v>
      </c>
      <c r="G33" s="76">
        <v>7.95</v>
      </c>
      <c r="H33" s="76">
        <v>7.73</v>
      </c>
      <c r="I33" s="76">
        <v>7.51</v>
      </c>
    </row>
    <row r="34" spans="2:9" x14ac:dyDescent="0.25">
      <c r="B34" s="75">
        <f t="shared" si="1"/>
        <v>28</v>
      </c>
      <c r="C34" s="76">
        <v>996.31</v>
      </c>
      <c r="D34" s="77">
        <v>8.3299999999999997E-4</v>
      </c>
      <c r="E34" s="78">
        <f t="shared" si="0"/>
        <v>8.3608515421906841E-7</v>
      </c>
      <c r="F34" s="76">
        <v>3.7789999999999999</v>
      </c>
      <c r="G34" s="76">
        <v>7.81</v>
      </c>
      <c r="H34" s="76">
        <v>7.59</v>
      </c>
      <c r="I34" s="76">
        <v>7.38</v>
      </c>
    </row>
    <row r="35" spans="2:9" x14ac:dyDescent="0.25">
      <c r="B35" s="75">
        <f t="shared" si="1"/>
        <v>29</v>
      </c>
      <c r="C35" s="76">
        <v>996.02</v>
      </c>
      <c r="D35" s="77">
        <v>8.1499999999999997E-4</v>
      </c>
      <c r="E35" s="78">
        <f t="shared" si="0"/>
        <v>8.1825666151282104E-7</v>
      </c>
      <c r="F35" s="76">
        <v>4.0039999999999996</v>
      </c>
      <c r="G35" s="76">
        <v>7.67</v>
      </c>
      <c r="H35" s="76">
        <v>7.46</v>
      </c>
      <c r="I35" s="76">
        <v>7.26</v>
      </c>
    </row>
    <row r="36" spans="2:9" x14ac:dyDescent="0.25">
      <c r="B36" s="75">
        <f t="shared" si="1"/>
        <v>30</v>
      </c>
      <c r="C36" s="76">
        <v>995.71</v>
      </c>
      <c r="D36" s="77">
        <v>7.9799999999999999E-4</v>
      </c>
      <c r="E36" s="78">
        <f t="shared" si="0"/>
        <v>8.0143816974821981E-7</v>
      </c>
      <c r="F36" s="76">
        <v>4.242</v>
      </c>
      <c r="G36" s="76">
        <v>7.54</v>
      </c>
      <c r="H36" s="76">
        <v>7.33</v>
      </c>
      <c r="I36" s="76">
        <v>7.14</v>
      </c>
    </row>
    <row r="37" spans="2:9" x14ac:dyDescent="0.25">
      <c r="B37" s="75">
        <f t="shared" si="1"/>
        <v>31</v>
      </c>
      <c r="C37" s="76">
        <v>995.41</v>
      </c>
      <c r="D37" s="77">
        <v>7.8100000000000001E-4</v>
      </c>
      <c r="E37" s="78">
        <f t="shared" si="0"/>
        <v>7.8460132005907112E-7</v>
      </c>
      <c r="F37" s="76">
        <v>4.4909999999999997</v>
      </c>
      <c r="G37" s="76">
        <v>7.41</v>
      </c>
      <c r="H37" s="76">
        <v>7.21</v>
      </c>
      <c r="I37" s="76">
        <v>7.02</v>
      </c>
    </row>
    <row r="38" spans="2:9" x14ac:dyDescent="0.25">
      <c r="B38" s="75">
        <f t="shared" si="1"/>
        <v>32</v>
      </c>
      <c r="C38" s="76">
        <v>995.09</v>
      </c>
      <c r="D38" s="77">
        <v>7.6499999999999995E-4</v>
      </c>
      <c r="E38" s="78">
        <f t="shared" si="0"/>
        <v>7.6877468369695196E-7</v>
      </c>
      <c r="F38" s="76">
        <v>4.7539999999999996</v>
      </c>
      <c r="G38" s="76">
        <v>7.29</v>
      </c>
      <c r="H38" s="76">
        <v>7.09</v>
      </c>
      <c r="I38" s="76">
        <v>6.9</v>
      </c>
    </row>
    <row r="39" spans="2:9" x14ac:dyDescent="0.25">
      <c r="B39" s="75">
        <f t="shared" si="1"/>
        <v>33</v>
      </c>
      <c r="C39" s="76">
        <v>994.76</v>
      </c>
      <c r="D39" s="77">
        <v>7.4899999999999999E-4</v>
      </c>
      <c r="E39" s="78">
        <f t="shared" si="0"/>
        <v>7.5294543407455063E-7</v>
      </c>
      <c r="F39" s="76">
        <v>5.0289999999999999</v>
      </c>
      <c r="G39" s="76">
        <v>7.17</v>
      </c>
      <c r="H39" s="76">
        <v>6.98</v>
      </c>
      <c r="I39" s="76">
        <v>6.79</v>
      </c>
    </row>
    <row r="40" spans="2:9" x14ac:dyDescent="0.25">
      <c r="B40" s="75">
        <f t="shared" si="1"/>
        <v>34</v>
      </c>
      <c r="C40" s="76">
        <v>994.43</v>
      </c>
      <c r="D40" s="77">
        <v>7.3399999999999995E-4</v>
      </c>
      <c r="E40" s="78">
        <f t="shared" si="0"/>
        <v>7.3811127982864557E-7</v>
      </c>
      <c r="F40" s="76">
        <v>5.3179999999999996</v>
      </c>
      <c r="G40" s="76">
        <v>7.05</v>
      </c>
      <c r="H40" s="76">
        <v>6.86</v>
      </c>
      <c r="I40" s="76">
        <v>6.68</v>
      </c>
    </row>
    <row r="41" spans="2:9" x14ac:dyDescent="0.25">
      <c r="B41" s="75">
        <f t="shared" si="1"/>
        <v>35</v>
      </c>
      <c r="C41" s="76">
        <v>994.08</v>
      </c>
      <c r="D41" s="77">
        <v>7.2000000000000005E-4</v>
      </c>
      <c r="E41" s="78">
        <f t="shared" si="0"/>
        <v>7.2428778367938198E-7</v>
      </c>
      <c r="F41" s="76">
        <v>5.6219999999999999</v>
      </c>
      <c r="G41" s="76">
        <v>6.93</v>
      </c>
      <c r="H41" s="76">
        <v>6.75</v>
      </c>
      <c r="I41" s="76">
        <v>6.58</v>
      </c>
    </row>
    <row r="42" spans="2:9" x14ac:dyDescent="0.25">
      <c r="B42" s="75">
        <f t="shared" si="1"/>
        <v>36</v>
      </c>
      <c r="C42" s="76">
        <v>993.73</v>
      </c>
      <c r="D42" s="77">
        <v>7.0500000000000001E-4</v>
      </c>
      <c r="E42" s="78">
        <f t="shared" si="0"/>
        <v>7.0944824046773266E-7</v>
      </c>
      <c r="F42" s="76">
        <v>5.94</v>
      </c>
      <c r="G42" s="76">
        <v>6.82</v>
      </c>
      <c r="H42" s="76">
        <v>6.65</v>
      </c>
      <c r="I42" s="76">
        <v>6.47</v>
      </c>
    </row>
    <row r="43" spans="2:9" x14ac:dyDescent="0.25">
      <c r="B43" s="75">
        <f t="shared" si="1"/>
        <v>37</v>
      </c>
      <c r="C43" s="76">
        <v>993.37</v>
      </c>
      <c r="D43" s="77">
        <v>6.9200000000000002E-4</v>
      </c>
      <c r="E43" s="78">
        <f t="shared" si="0"/>
        <v>6.9661858119331165E-7</v>
      </c>
      <c r="F43" s="76">
        <v>6.274</v>
      </c>
      <c r="G43" s="76">
        <v>6.72</v>
      </c>
      <c r="H43" s="76">
        <v>6.54</v>
      </c>
      <c r="I43" s="76">
        <v>6.37</v>
      </c>
    </row>
    <row r="44" spans="2:9" x14ac:dyDescent="0.25">
      <c r="B44" s="75">
        <f t="shared" si="1"/>
        <v>38</v>
      </c>
      <c r="C44" s="76">
        <v>993</v>
      </c>
      <c r="D44" s="77">
        <v>6.78E-4</v>
      </c>
      <c r="E44" s="78">
        <f t="shared" si="0"/>
        <v>6.8277945619335344E-7</v>
      </c>
      <c r="F44" s="76">
        <v>6.6239999999999997</v>
      </c>
      <c r="G44" s="76">
        <v>6.61</v>
      </c>
      <c r="H44" s="76">
        <v>6.44</v>
      </c>
      <c r="I44" s="76">
        <v>6.28</v>
      </c>
    </row>
    <row r="45" spans="2:9" x14ac:dyDescent="0.25">
      <c r="B45" s="75">
        <f t="shared" si="1"/>
        <v>39</v>
      </c>
      <c r="C45" s="76">
        <v>992.63</v>
      </c>
      <c r="D45" s="77">
        <v>6.6600000000000003E-4</v>
      </c>
      <c r="E45" s="78">
        <f t="shared" si="0"/>
        <v>6.709448636450642E-7</v>
      </c>
      <c r="F45" s="76">
        <v>6.9909999999999997</v>
      </c>
      <c r="G45" s="76">
        <v>6.51</v>
      </c>
      <c r="H45" s="76">
        <v>6.34</v>
      </c>
      <c r="I45" s="76">
        <v>6.18</v>
      </c>
    </row>
    <row r="46" spans="2:9" x14ac:dyDescent="0.25">
      <c r="B46" s="75">
        <f t="shared" si="1"/>
        <v>40</v>
      </c>
      <c r="C46" s="76">
        <v>992.25</v>
      </c>
      <c r="D46" s="77">
        <v>6.5300000000000004E-4</v>
      </c>
      <c r="E46" s="78">
        <f t="shared" si="0"/>
        <v>6.5810027714789624E-7</v>
      </c>
      <c r="F46" s="76">
        <v>7.375</v>
      </c>
      <c r="G46" s="76">
        <v>6.41</v>
      </c>
      <c r="H46" s="76">
        <v>6.25</v>
      </c>
      <c r="I46" s="76">
        <v>6.09</v>
      </c>
    </row>
    <row r="47" spans="2:9" x14ac:dyDescent="0.25">
      <c r="B47" s="398" t="s">
        <v>92</v>
      </c>
      <c r="C47" s="399"/>
      <c r="D47" s="399"/>
      <c r="E47" s="399"/>
      <c r="F47" s="400"/>
      <c r="G47" s="401" t="s">
        <v>93</v>
      </c>
      <c r="H47" s="402"/>
      <c r="I47" s="403"/>
    </row>
    <row r="48" spans="2:9" x14ac:dyDescent="0.25">
      <c r="B48" s="79" t="s">
        <v>94</v>
      </c>
      <c r="C48" s="80"/>
      <c r="D48" s="80"/>
      <c r="E48" s="81"/>
      <c r="F48" s="82"/>
      <c r="G48" s="404"/>
      <c r="H48" s="405"/>
      <c r="I48" s="406"/>
    </row>
  </sheetData>
  <mergeCells count="9">
    <mergeCell ref="B47:F47"/>
    <mergeCell ref="G47:I48"/>
    <mergeCell ref="G3:I3"/>
    <mergeCell ref="B4:B5"/>
    <mergeCell ref="C4:C5"/>
    <mergeCell ref="D4:D5"/>
    <mergeCell ref="E4:E5"/>
    <mergeCell ref="F4:F5"/>
    <mergeCell ref="G4:I4"/>
  </mergeCells>
  <hyperlinks>
    <hyperlink ref="B48" r:id="rId1" xr:uid="{3C4A5B29-DA55-4D3E-A445-992A6AFF05C4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7717E-22ED-4468-A917-B0B7BAD928B8}">
  <dimension ref="A1:M38"/>
  <sheetViews>
    <sheetView showGridLines="0" zoomScale="75" zoomScaleNormal="75" workbookViewId="0">
      <selection activeCell="I17" sqref="I17"/>
    </sheetView>
  </sheetViews>
  <sheetFormatPr baseColWidth="10" defaultRowHeight="15" x14ac:dyDescent="0.25"/>
  <cols>
    <col min="1" max="1" width="42.28515625" customWidth="1"/>
    <col min="2" max="2" width="25.140625" customWidth="1"/>
    <col min="3" max="3" width="11.5703125" customWidth="1"/>
    <col min="4" max="4" width="16.85546875" customWidth="1"/>
    <col min="5" max="5" width="15.5703125" customWidth="1"/>
    <col min="6" max="6" width="11" customWidth="1"/>
    <col min="7" max="7" width="13.140625" customWidth="1"/>
    <col min="8" max="8" width="14.42578125" customWidth="1"/>
    <col min="9" max="9" width="24.28515625" customWidth="1"/>
    <col min="10" max="10" width="14.85546875" customWidth="1"/>
    <col min="11" max="11" width="7.28515625" customWidth="1"/>
    <col min="12" max="12" width="15" customWidth="1"/>
  </cols>
  <sheetData>
    <row r="1" spans="1:8" ht="31.5" x14ac:dyDescent="0.25">
      <c r="A1" s="226" t="s">
        <v>5</v>
      </c>
      <c r="B1" s="227"/>
      <c r="C1" s="64"/>
      <c r="D1" s="64"/>
      <c r="E1" s="64"/>
      <c r="F1" s="212"/>
      <c r="G1" s="228" t="s">
        <v>6</v>
      </c>
      <c r="H1" s="16" t="s">
        <v>7</v>
      </c>
    </row>
    <row r="2" spans="1:8" x14ac:dyDescent="0.25">
      <c r="A2" s="65"/>
      <c r="B2" s="229" t="s">
        <v>193</v>
      </c>
      <c r="C2" s="230"/>
      <c r="D2" s="231" t="s">
        <v>194</v>
      </c>
      <c r="E2" s="232">
        <f>E15+E19+E28</f>
        <v>2.3772181650270618E-2</v>
      </c>
      <c r="F2" s="233" t="s">
        <v>50</v>
      </c>
      <c r="G2" s="234">
        <f>G15+G19+G28</f>
        <v>2.3772181650270618E-2</v>
      </c>
      <c r="H2" s="93">
        <f t="shared" ref="H2:H28" si="0">G2-E2</f>
        <v>0</v>
      </c>
    </row>
    <row r="3" spans="1:8" x14ac:dyDescent="0.25">
      <c r="A3" s="65"/>
      <c r="B3" s="235" t="s">
        <v>268</v>
      </c>
      <c r="C3" s="160"/>
      <c r="D3" s="236"/>
      <c r="E3" s="237"/>
      <c r="G3" s="238"/>
      <c r="H3" s="212"/>
    </row>
    <row r="4" spans="1:8" x14ac:dyDescent="0.25">
      <c r="A4" s="239" t="s">
        <v>196</v>
      </c>
      <c r="B4" s="68" t="s">
        <v>197</v>
      </c>
      <c r="C4" s="27"/>
      <c r="D4" s="64"/>
      <c r="E4" s="240">
        <f>'Parrilla de Aireación'!E65</f>
        <v>7.7401757579740833</v>
      </c>
      <c r="F4" s="69" t="s">
        <v>15</v>
      </c>
      <c r="G4" s="380">
        <f>'Parrilla de Aireación'!G65</f>
        <v>7.7401757579740833</v>
      </c>
      <c r="H4" s="93">
        <f t="shared" si="0"/>
        <v>0</v>
      </c>
    </row>
    <row r="5" spans="1:8" x14ac:dyDescent="0.25">
      <c r="A5" s="215" t="s">
        <v>105</v>
      </c>
      <c r="B5" s="241" t="s">
        <v>198</v>
      </c>
      <c r="C5" s="242"/>
      <c r="D5" s="243"/>
      <c r="E5" s="244">
        <f>0.5+0.6+2</f>
        <v>3.1</v>
      </c>
      <c r="F5" s="245" t="s">
        <v>13</v>
      </c>
      <c r="G5" s="70">
        <f>0.5+0.6+2</f>
        <v>3.1</v>
      </c>
      <c r="H5" s="93">
        <f t="shared" si="0"/>
        <v>0</v>
      </c>
    </row>
    <row r="6" spans="1:8" x14ac:dyDescent="0.25">
      <c r="A6" s="227"/>
      <c r="B6" s="246" t="s">
        <v>199</v>
      </c>
      <c r="C6" s="242"/>
      <c r="D6" s="243"/>
      <c r="E6" s="244">
        <v>1.5</v>
      </c>
      <c r="F6" s="247" t="s">
        <v>200</v>
      </c>
      <c r="G6" s="70">
        <v>1.5</v>
      </c>
      <c r="H6" s="93">
        <f t="shared" si="0"/>
        <v>0</v>
      </c>
    </row>
    <row r="7" spans="1:8" x14ac:dyDescent="0.25">
      <c r="A7" s="227"/>
      <c r="B7" s="248" t="s">
        <v>201</v>
      </c>
      <c r="C7" s="62"/>
      <c r="D7" s="64"/>
      <c r="E7" s="249">
        <f>0.001*E4/(0.25*3.14*(0.0254*E6)^2)</f>
        <v>6.7925245120751141</v>
      </c>
      <c r="F7" s="66" t="s">
        <v>10</v>
      </c>
      <c r="G7" s="250">
        <f>0.001*G4/(0.25*3.14*(0.0254*G6)^2)</f>
        <v>6.7925245120751141</v>
      </c>
      <c r="H7" s="93">
        <f t="shared" si="0"/>
        <v>0</v>
      </c>
    </row>
    <row r="8" spans="1:8" x14ac:dyDescent="0.25">
      <c r="A8" s="227"/>
      <c r="B8" s="241" t="s">
        <v>202</v>
      </c>
      <c r="C8" s="242"/>
      <c r="D8" s="342"/>
      <c r="E8" s="379">
        <f>'[2]Parrilla de Aireación '!E18</f>
        <v>25</v>
      </c>
      <c r="F8" s="245" t="s">
        <v>88</v>
      </c>
      <c r="G8" s="381">
        <f>'[2]Parrilla de Aireación '!G18</f>
        <v>25</v>
      </c>
      <c r="H8" s="93">
        <f t="shared" si="0"/>
        <v>0</v>
      </c>
    </row>
    <row r="9" spans="1:8" x14ac:dyDescent="0.25">
      <c r="A9" s="215" t="s">
        <v>44</v>
      </c>
      <c r="B9" s="248" t="s">
        <v>203</v>
      </c>
      <c r="C9" s="62"/>
      <c r="D9" s="64"/>
      <c r="E9" s="252">
        <f>VLOOKUP(ROUND(E8,0),'[1]Agua-T(°C)'!B6:H46,4)</f>
        <v>8.9356453020167885E-7</v>
      </c>
      <c r="F9" s="66"/>
      <c r="G9" s="382">
        <f>VLOOKUP(ROUND(G8,0),'[1]Agua-T(°C)'!B6:H46,4)</f>
        <v>8.9356453020167885E-7</v>
      </c>
      <c r="H9" s="93">
        <f t="shared" si="0"/>
        <v>0</v>
      </c>
    </row>
    <row r="10" spans="1:8" x14ac:dyDescent="0.25">
      <c r="A10" s="227"/>
      <c r="B10" s="248" t="s">
        <v>204</v>
      </c>
      <c r="C10" s="62"/>
      <c r="D10" s="64"/>
      <c r="E10" s="252">
        <f>0.0254*E6*E7/E9</f>
        <v>289621.14672529732</v>
      </c>
      <c r="F10" s="66"/>
      <c r="G10" s="382">
        <f>0.0254*G6*G7/G9</f>
        <v>289621.14672529732</v>
      </c>
      <c r="H10" s="93">
        <f t="shared" si="0"/>
        <v>0</v>
      </c>
    </row>
    <row r="11" spans="1:8" ht="18" x14ac:dyDescent="0.25">
      <c r="A11" s="227"/>
      <c r="B11" s="248" t="s">
        <v>205</v>
      </c>
      <c r="C11" s="62"/>
      <c r="D11" s="64"/>
      <c r="E11" s="251">
        <v>0</v>
      </c>
      <c r="F11" s="66"/>
      <c r="G11" s="381">
        <v>0</v>
      </c>
      <c r="H11" s="93">
        <f t="shared" si="0"/>
        <v>0</v>
      </c>
    </row>
    <row r="12" spans="1:8" x14ac:dyDescent="0.25">
      <c r="A12" s="239" t="s">
        <v>206</v>
      </c>
      <c r="B12" s="248" t="s">
        <v>207</v>
      </c>
      <c r="C12" s="62"/>
      <c r="D12" s="253" t="s">
        <v>208</v>
      </c>
      <c r="E12" s="254">
        <v>1.4999999999999999E-2</v>
      </c>
      <c r="F12" s="66"/>
      <c r="G12" s="383">
        <v>1.4999999999999999E-2</v>
      </c>
      <c r="H12" s="93">
        <f t="shared" si="0"/>
        <v>0</v>
      </c>
    </row>
    <row r="13" spans="1:8" x14ac:dyDescent="0.25">
      <c r="A13" s="239"/>
      <c r="B13" s="248" t="s">
        <v>209</v>
      </c>
      <c r="C13" s="62"/>
      <c r="D13" s="64"/>
      <c r="E13" s="249">
        <f>'Parrilla de Aireación'!E82</f>
        <v>1.0724865447155201</v>
      </c>
      <c r="F13" s="66" t="s">
        <v>144</v>
      </c>
      <c r="G13" s="250">
        <f>'Parrilla de Aireación'!G82</f>
        <v>1.0724865447155201</v>
      </c>
      <c r="H13" s="93">
        <f t="shared" si="0"/>
        <v>0</v>
      </c>
    </row>
    <row r="14" spans="1:8" x14ac:dyDescent="0.25">
      <c r="A14" s="227"/>
      <c r="B14" s="248" t="s">
        <v>210</v>
      </c>
      <c r="C14" s="62"/>
      <c r="D14" s="255" t="s">
        <v>12</v>
      </c>
      <c r="E14" s="252">
        <f>(E13/1000)*E7^2/19.6</f>
        <v>2.5246327378778692E-3</v>
      </c>
      <c r="F14" s="66" t="s">
        <v>50</v>
      </c>
      <c r="G14" s="382">
        <f>(G13/1000)*G7^2/19.6</f>
        <v>2.5246327378778692E-3</v>
      </c>
      <c r="H14" s="93">
        <f t="shared" si="0"/>
        <v>0</v>
      </c>
    </row>
    <row r="15" spans="1:8" x14ac:dyDescent="0.25">
      <c r="A15" s="256" t="s">
        <v>211</v>
      </c>
      <c r="B15" s="257" t="s">
        <v>212</v>
      </c>
      <c r="C15" s="258"/>
      <c r="D15" s="64"/>
      <c r="E15" s="259">
        <f>E12*(E5/(0.0254*E6)*E14)</f>
        <v>3.0812446800871636E-3</v>
      </c>
      <c r="F15" s="260" t="s">
        <v>50</v>
      </c>
      <c r="G15" s="384">
        <f>G12*(G5/(0.0254*G6)*G14)</f>
        <v>3.0812446800871636E-3</v>
      </c>
      <c r="H15" s="93">
        <f t="shared" si="0"/>
        <v>0</v>
      </c>
    </row>
    <row r="16" spans="1:8" x14ac:dyDescent="0.25">
      <c r="A16" s="227"/>
      <c r="B16" s="261" t="s">
        <v>213</v>
      </c>
      <c r="C16" s="262" t="s">
        <v>214</v>
      </c>
      <c r="D16" s="262" t="s">
        <v>215</v>
      </c>
      <c r="E16" s="263" t="s">
        <v>216</v>
      </c>
      <c r="F16" s="66"/>
      <c r="G16" s="263" t="s">
        <v>216</v>
      </c>
      <c r="H16" s="93"/>
    </row>
    <row r="17" spans="1:13" x14ac:dyDescent="0.25">
      <c r="A17" s="218" t="s">
        <v>217</v>
      </c>
      <c r="B17" s="26" t="s">
        <v>218</v>
      </c>
      <c r="C17" s="264">
        <v>0.42</v>
      </c>
      <c r="D17" s="264">
        <v>3</v>
      </c>
      <c r="E17" s="265">
        <f>C17*D17*E14</f>
        <v>3.1810372497261151E-3</v>
      </c>
      <c r="F17" s="66" t="s">
        <v>50</v>
      </c>
      <c r="G17" s="265">
        <f>C17*D17*G14</f>
        <v>3.1810372497261151E-3</v>
      </c>
      <c r="H17" s="93">
        <f t="shared" si="0"/>
        <v>0</v>
      </c>
    </row>
    <row r="18" spans="1:13" x14ac:dyDescent="0.25">
      <c r="A18" s="256" t="s">
        <v>217</v>
      </c>
      <c r="B18" s="26" t="s">
        <v>219</v>
      </c>
      <c r="C18" s="264">
        <v>1.33</v>
      </c>
      <c r="D18" s="264">
        <v>1</v>
      </c>
      <c r="E18" s="265">
        <f>C18*D18*E14</f>
        <v>3.3577615413775664E-3</v>
      </c>
      <c r="F18" s="66" t="s">
        <v>50</v>
      </c>
      <c r="G18" s="265">
        <f>C18*D18*G14</f>
        <v>3.3577615413775664E-3</v>
      </c>
      <c r="H18" s="93">
        <f t="shared" si="0"/>
        <v>0</v>
      </c>
    </row>
    <row r="19" spans="1:13" x14ac:dyDescent="0.25">
      <c r="A19" s="239"/>
      <c r="B19" s="26" t="s">
        <v>220</v>
      </c>
      <c r="C19" s="264"/>
      <c r="D19" s="264"/>
      <c r="E19" s="265">
        <f>E17+E18</f>
        <v>6.538798791103681E-3</v>
      </c>
      <c r="F19" s="66" t="s">
        <v>50</v>
      </c>
      <c r="G19" s="265">
        <f>G17+G18</f>
        <v>6.538798791103681E-3</v>
      </c>
      <c r="H19" s="93">
        <f t="shared" si="0"/>
        <v>0</v>
      </c>
    </row>
    <row r="20" spans="1:13" x14ac:dyDescent="0.25">
      <c r="A20" s="227"/>
      <c r="B20" s="235" t="s">
        <v>267</v>
      </c>
      <c r="C20" s="160"/>
      <c r="D20" s="236"/>
      <c r="E20" s="237"/>
      <c r="F20" s="266"/>
      <c r="G20" s="238"/>
      <c r="H20" s="212"/>
    </row>
    <row r="21" spans="1:13" ht="18.75" x14ac:dyDescent="0.35">
      <c r="A21" s="227"/>
      <c r="B21" s="28" t="s">
        <v>222</v>
      </c>
      <c r="C21" s="66" t="s">
        <v>223</v>
      </c>
      <c r="D21" s="66" t="s">
        <v>224</v>
      </c>
      <c r="E21" s="267">
        <v>150</v>
      </c>
      <c r="F21" s="268"/>
      <c r="G21" s="269">
        <v>150</v>
      </c>
      <c r="H21" s="93">
        <f t="shared" si="0"/>
        <v>0</v>
      </c>
    </row>
    <row r="22" spans="1:13" x14ac:dyDescent="0.25">
      <c r="A22" s="65"/>
      <c r="B22" s="68" t="s">
        <v>225</v>
      </c>
      <c r="C22" s="27"/>
      <c r="D22" s="64"/>
      <c r="E22" s="240">
        <f>E4/2</f>
        <v>3.8700878789870417</v>
      </c>
      <c r="F22" s="69" t="s">
        <v>15</v>
      </c>
      <c r="G22" s="380">
        <f>G4/2</f>
        <v>3.8700878789870417</v>
      </c>
      <c r="H22" s="93">
        <f t="shared" si="0"/>
        <v>0</v>
      </c>
    </row>
    <row r="23" spans="1:13" x14ac:dyDescent="0.25">
      <c r="A23" s="270" t="s">
        <v>105</v>
      </c>
      <c r="B23" s="241" t="s">
        <v>226</v>
      </c>
      <c r="C23" s="242"/>
      <c r="D23" s="342" t="s">
        <v>265</v>
      </c>
      <c r="E23" s="244">
        <v>5</v>
      </c>
      <c r="F23" s="245" t="s">
        <v>13</v>
      </c>
      <c r="G23" s="70">
        <v>5</v>
      </c>
      <c r="H23" s="93">
        <f t="shared" si="0"/>
        <v>0</v>
      </c>
    </row>
    <row r="24" spans="1:13" x14ac:dyDescent="0.25">
      <c r="A24" s="270" t="s">
        <v>105</v>
      </c>
      <c r="B24" s="246" t="s">
        <v>199</v>
      </c>
      <c r="C24" s="242"/>
      <c r="D24" s="342" t="s">
        <v>262</v>
      </c>
      <c r="E24" s="244">
        <v>1</v>
      </c>
      <c r="F24" s="247" t="s">
        <v>200</v>
      </c>
      <c r="G24" s="70">
        <v>1</v>
      </c>
      <c r="H24" s="93">
        <f t="shared" si="0"/>
        <v>0</v>
      </c>
    </row>
    <row r="25" spans="1:13" x14ac:dyDescent="0.25">
      <c r="A25" s="65"/>
      <c r="B25" s="248" t="s">
        <v>204</v>
      </c>
      <c r="C25" s="62"/>
      <c r="D25" s="184" t="s">
        <v>266</v>
      </c>
      <c r="E25" s="252">
        <f>0.0254*E24*E23/E9</f>
        <v>142127.39618406285</v>
      </c>
      <c r="F25" s="66"/>
      <c r="G25" s="382">
        <f>0.0254*G24*G23/G9</f>
        <v>142127.39618406285</v>
      </c>
      <c r="H25" s="93">
        <f t="shared" si="0"/>
        <v>0</v>
      </c>
    </row>
    <row r="26" spans="1:13" x14ac:dyDescent="0.25">
      <c r="A26" s="239" t="s">
        <v>206</v>
      </c>
      <c r="B26" s="248" t="s">
        <v>207</v>
      </c>
      <c r="C26" s="62"/>
      <c r="D26" s="253" t="s">
        <v>208</v>
      </c>
      <c r="E26" s="254">
        <v>1.7999999999999999E-2</v>
      </c>
      <c r="F26" s="66"/>
      <c r="G26" s="383">
        <v>1.7999999999999999E-2</v>
      </c>
      <c r="H26" s="93">
        <f t="shared" si="0"/>
        <v>0</v>
      </c>
    </row>
    <row r="27" spans="1:13" x14ac:dyDescent="0.25">
      <c r="A27" s="270" t="s">
        <v>105</v>
      </c>
      <c r="B27" s="26" t="s">
        <v>227</v>
      </c>
      <c r="C27" s="27"/>
      <c r="D27" s="64"/>
      <c r="E27" s="330">
        <v>2</v>
      </c>
      <c r="F27" s="69"/>
      <c r="G27" s="70">
        <v>2</v>
      </c>
      <c r="H27" s="93">
        <f t="shared" si="0"/>
        <v>0</v>
      </c>
    </row>
    <row r="28" spans="1:13" x14ac:dyDescent="0.25">
      <c r="A28" s="65"/>
      <c r="B28" s="248" t="s">
        <v>228</v>
      </c>
      <c r="C28" s="62"/>
      <c r="E28" s="259">
        <f>SUM(F31:F38)</f>
        <v>1.4152138179079775E-2</v>
      </c>
      <c r="F28" s="66" t="s">
        <v>50</v>
      </c>
      <c r="G28" s="384">
        <f>SUM(G31:G38)</f>
        <v>1.4152138179079775E-2</v>
      </c>
      <c r="H28" s="93">
        <f t="shared" si="0"/>
        <v>0</v>
      </c>
      <c r="J28" s="12"/>
      <c r="L28" s="271"/>
      <c r="M28" s="272"/>
    </row>
    <row r="29" spans="1:13" ht="28.5" x14ac:dyDescent="0.25">
      <c r="B29" s="273" t="s">
        <v>229</v>
      </c>
      <c r="C29" s="273" t="s">
        <v>230</v>
      </c>
      <c r="D29" s="273" t="s">
        <v>231</v>
      </c>
      <c r="E29" s="273" t="s">
        <v>232</v>
      </c>
      <c r="F29" s="273" t="s">
        <v>233</v>
      </c>
      <c r="G29" s="273" t="s">
        <v>233</v>
      </c>
      <c r="J29" s="12"/>
      <c r="K29" s="12"/>
      <c r="L29" s="271"/>
      <c r="M29" s="272"/>
    </row>
    <row r="30" spans="1:13" x14ac:dyDescent="0.25">
      <c r="B30" s="274"/>
      <c r="C30" s="274" t="s">
        <v>15</v>
      </c>
      <c r="D30" s="274" t="s">
        <v>10</v>
      </c>
      <c r="E30" s="274" t="s">
        <v>10</v>
      </c>
      <c r="F30" s="274" t="s">
        <v>50</v>
      </c>
      <c r="G30" s="274" t="s">
        <v>50</v>
      </c>
      <c r="J30" s="12"/>
      <c r="K30" s="12"/>
      <c r="L30" s="271"/>
      <c r="M30" s="272"/>
    </row>
    <row r="31" spans="1:13" ht="15" customHeight="1" x14ac:dyDescent="0.25">
      <c r="B31" s="275">
        <v>1</v>
      </c>
      <c r="C31" s="276">
        <f>E22</f>
        <v>3.8700878789870417</v>
      </c>
      <c r="D31" s="277">
        <f>0.001*C31/(0.25*3.14*(0.0254*$E$24)^2)</f>
        <v>7.641590076084503</v>
      </c>
      <c r="E31" s="278">
        <f>($E$13/1000)*D31^2/19.6</f>
        <v>3.1952383088766781E-3</v>
      </c>
      <c r="F31" s="278">
        <f t="shared" ref="F31:F38" si="1">$E$26*($E$23/(0.0254*$E$24))*E31</f>
        <v>1.132171054326382E-2</v>
      </c>
      <c r="G31" s="278">
        <f>$G$26*($G$23/(0.0254*$G$24))*E31</f>
        <v>1.132171054326382E-2</v>
      </c>
      <c r="H31" s="93">
        <f>F31-G31</f>
        <v>0</v>
      </c>
      <c r="J31" s="12"/>
      <c r="K31" s="12"/>
      <c r="L31" s="271"/>
      <c r="M31" s="272"/>
    </row>
    <row r="32" spans="1:13" ht="15" customHeight="1" x14ac:dyDescent="0.25">
      <c r="B32" s="275">
        <f>B31+1</f>
        <v>2</v>
      </c>
      <c r="C32" s="276">
        <f t="shared" ref="C32:C38" si="2">MAX(0,C31-$E$22/$E$27)</f>
        <v>1.9350439394935208</v>
      </c>
      <c r="D32" s="277">
        <f>0.001*C32/(0.25*3.14*(0.0254*$E$24)^2)</f>
        <v>3.8207950380422515</v>
      </c>
      <c r="E32" s="278">
        <f t="shared" ref="E32:E38" si="3">($E$13/1000)*D32^2/19.6</f>
        <v>7.9880957721916953E-4</v>
      </c>
      <c r="F32" s="278">
        <f t="shared" si="1"/>
        <v>2.830427635815955E-3</v>
      </c>
      <c r="G32" s="278">
        <f t="shared" ref="G32:G38" si="4">$G$26*($G$23/(0.0254*$G$24))*E32</f>
        <v>2.830427635815955E-3</v>
      </c>
      <c r="H32" s="93">
        <f t="shared" ref="H32:H38" si="5">F32-G32</f>
        <v>0</v>
      </c>
      <c r="J32" s="12"/>
      <c r="K32" s="12"/>
      <c r="L32" s="271"/>
      <c r="M32" s="272"/>
    </row>
    <row r="33" spans="2:8" x14ac:dyDescent="0.25">
      <c r="B33" s="275">
        <f t="shared" ref="B33:B38" si="6">B32+1</f>
        <v>3</v>
      </c>
      <c r="C33" s="276">
        <f t="shared" si="2"/>
        <v>0</v>
      </c>
      <c r="D33" s="277">
        <f t="shared" ref="D33:D38" si="7">0.001*C33/(0.25*3.14*(0.0254*$E$24)^2)</f>
        <v>0</v>
      </c>
      <c r="E33" s="278">
        <f t="shared" si="3"/>
        <v>0</v>
      </c>
      <c r="F33" s="278">
        <f t="shared" si="1"/>
        <v>0</v>
      </c>
      <c r="G33" s="278">
        <f t="shared" si="4"/>
        <v>0</v>
      </c>
      <c r="H33" s="93">
        <f t="shared" si="5"/>
        <v>0</v>
      </c>
    </row>
    <row r="34" spans="2:8" x14ac:dyDescent="0.25">
      <c r="B34" s="275">
        <f t="shared" si="6"/>
        <v>4</v>
      </c>
      <c r="C34" s="276">
        <f t="shared" si="2"/>
        <v>0</v>
      </c>
      <c r="D34" s="277">
        <f t="shared" si="7"/>
        <v>0</v>
      </c>
      <c r="E34" s="278">
        <f t="shared" si="3"/>
        <v>0</v>
      </c>
      <c r="F34" s="278">
        <f t="shared" si="1"/>
        <v>0</v>
      </c>
      <c r="G34" s="278">
        <f t="shared" si="4"/>
        <v>0</v>
      </c>
      <c r="H34" s="93">
        <f t="shared" si="5"/>
        <v>0</v>
      </c>
    </row>
    <row r="35" spans="2:8" x14ac:dyDescent="0.25">
      <c r="B35" s="275">
        <f t="shared" si="6"/>
        <v>5</v>
      </c>
      <c r="C35" s="276">
        <f t="shared" si="2"/>
        <v>0</v>
      </c>
      <c r="D35" s="277">
        <f t="shared" si="7"/>
        <v>0</v>
      </c>
      <c r="E35" s="278">
        <f t="shared" si="3"/>
        <v>0</v>
      </c>
      <c r="F35" s="278">
        <f t="shared" si="1"/>
        <v>0</v>
      </c>
      <c r="G35" s="278">
        <f t="shared" si="4"/>
        <v>0</v>
      </c>
      <c r="H35" s="93">
        <f t="shared" si="5"/>
        <v>0</v>
      </c>
    </row>
    <row r="36" spans="2:8" x14ac:dyDescent="0.25">
      <c r="B36" s="275">
        <f t="shared" si="6"/>
        <v>6</v>
      </c>
      <c r="C36" s="276">
        <f t="shared" si="2"/>
        <v>0</v>
      </c>
      <c r="D36" s="277">
        <f t="shared" si="7"/>
        <v>0</v>
      </c>
      <c r="E36" s="278">
        <f t="shared" si="3"/>
        <v>0</v>
      </c>
      <c r="F36" s="278">
        <f t="shared" si="1"/>
        <v>0</v>
      </c>
      <c r="G36" s="278">
        <f t="shared" si="4"/>
        <v>0</v>
      </c>
      <c r="H36" s="93">
        <f t="shared" si="5"/>
        <v>0</v>
      </c>
    </row>
    <row r="37" spans="2:8" x14ac:dyDescent="0.25">
      <c r="B37" s="275">
        <f t="shared" si="6"/>
        <v>7</v>
      </c>
      <c r="C37" s="276">
        <f t="shared" si="2"/>
        <v>0</v>
      </c>
      <c r="D37" s="277">
        <f t="shared" si="7"/>
        <v>0</v>
      </c>
      <c r="E37" s="278">
        <f t="shared" si="3"/>
        <v>0</v>
      </c>
      <c r="F37" s="278">
        <f t="shared" si="1"/>
        <v>0</v>
      </c>
      <c r="G37" s="278">
        <f t="shared" si="4"/>
        <v>0</v>
      </c>
      <c r="H37" s="93">
        <f t="shared" si="5"/>
        <v>0</v>
      </c>
    </row>
    <row r="38" spans="2:8" x14ac:dyDescent="0.25">
      <c r="B38" s="275">
        <f t="shared" si="6"/>
        <v>8</v>
      </c>
      <c r="C38" s="276">
        <f t="shared" si="2"/>
        <v>0</v>
      </c>
      <c r="D38" s="277">
        <f t="shared" si="7"/>
        <v>0</v>
      </c>
      <c r="E38" s="278">
        <f t="shared" si="3"/>
        <v>0</v>
      </c>
      <c r="F38" s="278">
        <f t="shared" si="1"/>
        <v>0</v>
      </c>
      <c r="G38" s="278">
        <f t="shared" si="4"/>
        <v>0</v>
      </c>
      <c r="H38" s="93">
        <f t="shared" si="5"/>
        <v>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A480E-99AC-42F1-BDAD-10A5635A36FF}">
  <dimension ref="G1"/>
  <sheetViews>
    <sheetView showGridLines="0" zoomScale="75" zoomScaleNormal="75" workbookViewId="0">
      <selection activeCell="R25" sqref="R25"/>
    </sheetView>
  </sheetViews>
  <sheetFormatPr baseColWidth="10" defaultRowHeight="15" x14ac:dyDescent="0.25"/>
  <sheetData>
    <row r="1" spans="7:7" ht="20.25" x14ac:dyDescent="0.3">
      <c r="G1" s="279" t="s">
        <v>234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Parrilla de Aireación</vt:lpstr>
      <vt:lpstr>Tubería de Succión</vt:lpstr>
      <vt:lpstr>Tubería de Aireación</vt:lpstr>
      <vt:lpstr>Agua-T(°C)</vt:lpstr>
      <vt:lpstr>Tubería del Soplador</vt:lpstr>
      <vt:lpstr>Diagrama de Moody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Carlos Paez</cp:lastModifiedBy>
  <dcterms:created xsi:type="dcterms:W3CDTF">2023-02-04T16:15:23Z</dcterms:created>
  <dcterms:modified xsi:type="dcterms:W3CDTF">2023-11-24T21:58:41Z</dcterms:modified>
</cp:coreProperties>
</file>